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ceDombrowski\OneDrive\My Documents\School\3rd Year\Mech 360\"/>
    </mc:Choice>
  </mc:AlternateContent>
  <xr:revisionPtr revIDLastSave="7" documentId="10_ncr:100000_{BAD4B107-D0D0-43C2-95EE-C73E335CA0DE}" xr6:coauthVersionLast="36" xr6:coauthVersionMax="40" xr10:uidLastSave="{04FDB8BD-7382-40B9-915F-7FEF67948B6F}"/>
  <bookViews>
    <workbookView xWindow="4275" yWindow="0" windowWidth="28800" windowHeight="12225" xr2:uid="{7D8AA982-DCC9-4EDA-BB51-189A9AEDC468}"/>
  </bookViews>
  <sheets>
    <sheet name="Input Shaft" sheetId="7" r:id="rId1"/>
    <sheet name="Intermediate Shaft" sheetId="8" r:id="rId2"/>
    <sheet name="Output Shaft" sheetId="9" r:id="rId3"/>
    <sheet name="Gears" sheetId="10" r:id="rId4"/>
    <sheet name="Bearings" sheetId="11" r:id="rId5"/>
    <sheet name="Bolts" sheetId="12" r:id="rId6"/>
    <sheet name="Keys" sheetId="14" r:id="rId7"/>
    <sheet name="COLOUR SCHEME" sheetId="13" r:id="rId8"/>
  </sheets>
  <definedNames>
    <definedName name="B1B2">'Intermediate Shaft'!$M$11</definedName>
    <definedName name="B1D1">'Intermediate Shaft'!$M$9</definedName>
    <definedName name="B1G1">'Intermediate Shaft'!$M$9</definedName>
    <definedName name="B1G2">'Intermediate Shaft'!$M$10</definedName>
    <definedName name="DGear" localSheetId="1">'Intermediate Shaft'!$B$4</definedName>
    <definedName name="DGear" localSheetId="2">'Output Shaft'!$E$5</definedName>
    <definedName name="Dpinion" localSheetId="1">'Intermediate Shaft'!$D$5</definedName>
    <definedName name="Dpinion" localSheetId="2">'Output Shaft'!$H$6</definedName>
    <definedName name="Dsg">'Intermediate Shaft'!$B$6</definedName>
    <definedName name="DShaft1" localSheetId="0">'Input Shaft'!$E$16</definedName>
    <definedName name="Dshaft1" localSheetId="1">'Intermediate Shaft'!$D$3</definedName>
    <definedName name="DShaft2" localSheetId="7">'COLOUR SCHEME'!$F$16</definedName>
    <definedName name="DShaft2" localSheetId="0">'Input Shaft'!$F$16</definedName>
    <definedName name="DShaft2" localSheetId="1">'Intermediate Shaft'!$F$15</definedName>
    <definedName name="DShaft2" localSheetId="2">'Output Shaft'!$K$28</definedName>
    <definedName name="DShaft3" localSheetId="1">'Intermediate Shaft'!$H$15</definedName>
    <definedName name="Fg1a">'Intermediate Shaft'!$O$11</definedName>
    <definedName name="Fg1r">'Intermediate Shaft'!$P$11</definedName>
    <definedName name="Fg2a">'Intermediate Shaft'!$O$12</definedName>
    <definedName name="Fg2r">'Intermediate Shaft'!$P$12</definedName>
    <definedName name="Fg2z">'Intermediate Shaft'!$Q$11</definedName>
    <definedName name="Fgear1">'Intermediate Shaft'!$Q$11</definedName>
    <definedName name="Fgear2">'Intermediate Shaft'!$Q$12</definedName>
    <definedName name="Frb1y">'Intermediate Shaft'!$P$9</definedName>
    <definedName name="Frb1z">'Intermediate Shaft'!$Q$9</definedName>
    <definedName name="Frb2y">'Intermediate Shaft'!$P$10</definedName>
    <definedName name="Frb2z">'Intermediate Shaft'!$Q$10</definedName>
    <definedName name="Gear_density" localSheetId="0">'Input Shaft'!$B$9</definedName>
    <definedName name="Gear_density" localSheetId="1">'Intermediate Shaft'!$B$8</definedName>
    <definedName name="Gear_density" localSheetId="2">'Output Shaft'!$E$9</definedName>
    <definedName name="Gear_Ratio">'Input Shaft'!$B$6</definedName>
    <definedName name="gravity" localSheetId="0">'Input Shaft'!$B$10</definedName>
    <definedName name="gravity" localSheetId="1">'Intermediate Shaft'!$B$9</definedName>
    <definedName name="gravity" localSheetId="2">'Output Shaft'!$G$22</definedName>
    <definedName name="Helix_Angle">'Intermediate Shaft'!$B$10</definedName>
    <definedName name="Input_RPM">'Input Shaft'!$B$5</definedName>
    <definedName name="Input_Torque" localSheetId="0">'Input Shaft'!$B$3</definedName>
    <definedName name="My1_">'Intermediate Shaft'!$J$41</definedName>
    <definedName name="My2_">'Intermediate Shaft'!$J$53</definedName>
    <definedName name="My3_" localSheetId="1">'Intermediate Shaft'!$J$65</definedName>
    <definedName name="My4_">'Intermediate Shaft'!$J$77</definedName>
    <definedName name="My5_">'Intermediate Shaft'!$J$89</definedName>
    <definedName name="My6_">'Intermediate Shaft'!$J$101</definedName>
    <definedName name="My7_">'Intermediate Shaft'!$J$113</definedName>
    <definedName name="Mz1_">'Intermediate Shaft'!$J$40</definedName>
    <definedName name="Mz2_">'Intermediate Shaft'!$J$52</definedName>
    <definedName name="Mz3_" localSheetId="1">'Intermediate Shaft'!$J$64</definedName>
    <definedName name="Mz4_">'Intermediate Shaft'!$J$76</definedName>
    <definedName name="Mz5_">'Intermediate Shaft'!$J$88</definedName>
    <definedName name="Mz6_">'Intermediate Shaft'!$J$100</definedName>
    <definedName name="Mz7_">'Intermediate Shaft'!$J$112</definedName>
    <definedName name="Pressure_Angle">'Intermediate Shaft'!$B$11</definedName>
    <definedName name="Shaft_density" localSheetId="0">'Input Shaft'!$B$8</definedName>
    <definedName name="Shaft_density" localSheetId="1">'Intermediate Shaft'!$B$7</definedName>
    <definedName name="Shoulder_height" localSheetId="0">'Input Shaft'!$B$7</definedName>
    <definedName name="Shoulder_height" localSheetId="1">'Intermediate Shaft'!$D$4</definedName>
    <definedName name="Torque" localSheetId="1">'Intermediate Shaft'!$B$3</definedName>
    <definedName name="Torque" localSheetId="2">'Output Shaft'!$E$4</definedName>
    <definedName name="WeightG1">'Intermediate Shaft'!$Q$13</definedName>
    <definedName name="WeightG2">'Intermediate Shaft'!$Q$14</definedName>
    <definedName name="WeightShaft">'Intermediate Shaft'!$Q$15</definedName>
    <definedName name="σ_Bending_Max_1">'Intermediate Shaft'!$J$42</definedName>
    <definedName name="σ_Bending_Max_2">'Intermediate Shaft'!$J$54</definedName>
    <definedName name="σ_Bending_Max_3">'Intermediate Shaft'!$J$66</definedName>
    <definedName name="σ_Bending_Max_4">'Intermediate Shaft'!$J$78</definedName>
    <definedName name="σ_Bending_Max_5">'Intermediate Shaft'!$J$90</definedName>
    <definedName name="σ_Bending_Max_6">'Intermediate Shaft'!$J$102</definedName>
    <definedName name="σ_Bending_Max_7">'Intermediate Shaft'!$J$114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10" l="1"/>
  <c r="D6" i="10"/>
  <c r="E78" i="10"/>
  <c r="D38" i="10"/>
  <c r="D8" i="10"/>
  <c r="E28" i="10"/>
  <c r="F48" i="12"/>
  <c r="F53" i="12"/>
  <c r="F34" i="12"/>
  <c r="F39" i="12"/>
  <c r="F20" i="12"/>
  <c r="F25" i="12"/>
  <c r="F6" i="12"/>
  <c r="F11" i="12"/>
  <c r="F9" i="12"/>
  <c r="I6" i="12"/>
  <c r="I12" i="12"/>
  <c r="B8" i="12"/>
  <c r="B7" i="12"/>
  <c r="B9" i="12"/>
  <c r="B10" i="12"/>
  <c r="F7" i="12"/>
  <c r="E53" i="10"/>
  <c r="F4" i="10"/>
  <c r="F3" i="10"/>
  <c r="L3" i="10"/>
  <c r="D62" i="10" s="1"/>
  <c r="E21" i="10"/>
  <c r="F24" i="12"/>
  <c r="B49" i="12"/>
  <c r="I48" i="12"/>
  <c r="I49" i="12"/>
  <c r="F51" i="12"/>
  <c r="I54" i="12"/>
  <c r="I50" i="12"/>
  <c r="I52" i="12"/>
  <c r="L54" i="12"/>
  <c r="L55" i="12"/>
  <c r="I51" i="12"/>
  <c r="I53" i="12"/>
  <c r="F52" i="12"/>
  <c r="B50" i="12"/>
  <c r="B51" i="12"/>
  <c r="B52" i="12"/>
  <c r="F49" i="12"/>
  <c r="F50" i="12"/>
  <c r="B35" i="12"/>
  <c r="B36" i="12"/>
  <c r="B22" i="12"/>
  <c r="D53" i="10"/>
  <c r="E81" i="7"/>
  <c r="E78" i="7" s="1"/>
  <c r="E85" i="7" s="1"/>
  <c r="D28" i="10"/>
  <c r="E16" i="7"/>
  <c r="F16" i="7"/>
  <c r="E43" i="7" s="1"/>
  <c r="J33" i="7"/>
  <c r="J36" i="7"/>
  <c r="E97" i="7"/>
  <c r="J16" i="7"/>
  <c r="J21" i="7" s="1"/>
  <c r="J23" i="7" s="1"/>
  <c r="J25" i="7" s="1"/>
  <c r="H92" i="7" s="1"/>
  <c r="J18" i="7"/>
  <c r="J19" i="7"/>
  <c r="E89" i="7"/>
  <c r="H95" i="7"/>
  <c r="K89" i="7" s="1"/>
  <c r="M89" i="7" s="1"/>
  <c r="H90" i="7"/>
  <c r="B4" i="9"/>
  <c r="E4" i="11" s="1"/>
  <c r="K25" i="10" s="1"/>
  <c r="D78" i="10"/>
  <c r="M9" i="8"/>
  <c r="M10" i="8"/>
  <c r="M11" i="8"/>
  <c r="B3" i="8"/>
  <c r="H89" i="8" s="1"/>
  <c r="B4" i="8"/>
  <c r="J3" i="10" s="1"/>
  <c r="B11" i="8"/>
  <c r="B10" i="8"/>
  <c r="B8" i="8"/>
  <c r="D4" i="8"/>
  <c r="F15" i="8" s="1"/>
  <c r="E68" i="8" s="1"/>
  <c r="E66" i="8" s="1"/>
  <c r="E73" i="8" s="1"/>
  <c r="B9" i="8"/>
  <c r="F18" i="7"/>
  <c r="F17" i="8"/>
  <c r="F18" i="8" s="1"/>
  <c r="B7" i="8"/>
  <c r="J17" i="8"/>
  <c r="J18" i="8" s="1"/>
  <c r="E15" i="8"/>
  <c r="H46" i="8" s="1"/>
  <c r="K15" i="8"/>
  <c r="J118" i="8" s="1"/>
  <c r="E83" i="8"/>
  <c r="E84" i="8" s="1"/>
  <c r="E85" i="8" s="1"/>
  <c r="B12" i="8"/>
  <c r="E33" i="8" s="1"/>
  <c r="B31" i="7"/>
  <c r="H65" i="7"/>
  <c r="J4" i="9"/>
  <c r="B10" i="9"/>
  <c r="I6" i="9" s="1"/>
  <c r="B9" i="9"/>
  <c r="H5" i="9"/>
  <c r="E17" i="11" s="1"/>
  <c r="N2" i="7"/>
  <c r="I16" i="7"/>
  <c r="H16" i="7"/>
  <c r="M4" i="7"/>
  <c r="L3" i="7"/>
  <c r="E14" i="11" s="1"/>
  <c r="E13" i="11"/>
  <c r="H4" i="14"/>
  <c r="B3" i="14"/>
  <c r="D37" i="10"/>
  <c r="H40" i="10"/>
  <c r="H39" i="10"/>
  <c r="H41" i="10"/>
  <c r="D40" i="10"/>
  <c r="H65" i="10"/>
  <c r="H64" i="10"/>
  <c r="H66" i="10"/>
  <c r="D65" i="10"/>
  <c r="E2" i="11"/>
  <c r="K22" i="10" s="1"/>
  <c r="D13" i="10"/>
  <c r="H15" i="10"/>
  <c r="H14" i="10"/>
  <c r="H16" i="10"/>
  <c r="D15" i="10"/>
  <c r="H73" i="10"/>
  <c r="H72" i="10"/>
  <c r="H74" i="10"/>
  <c r="H48" i="10"/>
  <c r="H47" i="10"/>
  <c r="H49" i="10"/>
  <c r="H24" i="10"/>
  <c r="H5" i="14"/>
  <c r="E44" i="7"/>
  <c r="E42" i="7" s="1"/>
  <c r="E49" i="7" s="1"/>
  <c r="E21" i="7"/>
  <c r="E23" i="7" s="1"/>
  <c r="E22" i="7"/>
  <c r="E20" i="7"/>
  <c r="H44" i="7"/>
  <c r="H46" i="7"/>
  <c r="K40" i="7" s="1"/>
  <c r="H41" i="7"/>
  <c r="K41" i="7" s="1"/>
  <c r="H45" i="7"/>
  <c r="E61" i="7"/>
  <c r="F19" i="7"/>
  <c r="F20" i="7"/>
  <c r="H57" i="7"/>
  <c r="H58" i="7" s="1"/>
  <c r="E60" i="7"/>
  <c r="H59" i="7"/>
  <c r="K53" i="7" s="1"/>
  <c r="M53" i="7" s="1"/>
  <c r="E62" i="7"/>
  <c r="H54" i="7"/>
  <c r="E69" i="7"/>
  <c r="E66" i="7" s="1"/>
  <c r="E73" i="7" s="1"/>
  <c r="I21" i="7"/>
  <c r="I23" i="7" s="1"/>
  <c r="I25" i="7" s="1"/>
  <c r="H80" i="7" s="1"/>
  <c r="K76" i="7" s="1"/>
  <c r="I22" i="7"/>
  <c r="H69" i="7"/>
  <c r="H70" i="7" s="1"/>
  <c r="H71" i="7"/>
  <c r="K65" i="7" s="1"/>
  <c r="H66" i="7"/>
  <c r="I20" i="7"/>
  <c r="H81" i="7" s="1"/>
  <c r="H82" i="7" s="1"/>
  <c r="H77" i="7"/>
  <c r="H78" i="7"/>
  <c r="H7" i="14"/>
  <c r="H6" i="14"/>
  <c r="B8" i="14"/>
  <c r="B6" i="14"/>
  <c r="C6" i="14"/>
  <c r="C9" i="14" s="1"/>
  <c r="T6" i="7"/>
  <c r="E116" i="8"/>
  <c r="E114" i="8" s="1"/>
  <c r="E121" i="8" s="1"/>
  <c r="E44" i="8"/>
  <c r="E42" i="8" s="1"/>
  <c r="E49" i="8" s="1"/>
  <c r="B5" i="8"/>
  <c r="E3" i="11" s="1"/>
  <c r="B5" i="13"/>
  <c r="B4" i="13"/>
  <c r="E18" i="11"/>
  <c r="G16" i="7"/>
  <c r="G20" i="7" s="1"/>
  <c r="B21" i="12"/>
  <c r="B23" i="12"/>
  <c r="B24" i="12"/>
  <c r="F21" i="12"/>
  <c r="F38" i="12"/>
  <c r="F37" i="12"/>
  <c r="B37" i="12"/>
  <c r="B38" i="12"/>
  <c r="F35" i="12"/>
  <c r="F36" i="12"/>
  <c r="F23" i="12"/>
  <c r="F22" i="12"/>
  <c r="F8" i="12"/>
  <c r="F10" i="12"/>
  <c r="I20" i="12"/>
  <c r="I26" i="12"/>
  <c r="I34" i="12"/>
  <c r="I40" i="12"/>
  <c r="E19" i="8"/>
  <c r="H44" i="8" s="1"/>
  <c r="H45" i="8" s="1"/>
  <c r="K19" i="8"/>
  <c r="H116" i="8" s="1"/>
  <c r="H117" i="8" s="1"/>
  <c r="E71" i="10"/>
  <c r="E46" i="10"/>
  <c r="B8" i="9"/>
  <c r="E32" i="8"/>
  <c r="N33" i="7"/>
  <c r="N36" i="7"/>
  <c r="F32" i="7"/>
  <c r="F30" i="7" s="1"/>
  <c r="F33" i="7"/>
  <c r="F36" i="7"/>
  <c r="E33" i="7"/>
  <c r="I33" i="7"/>
  <c r="M33" i="7"/>
  <c r="E32" i="7"/>
  <c r="E36" i="7"/>
  <c r="E30" i="7"/>
  <c r="B12" i="9"/>
  <c r="B11" i="9"/>
  <c r="B7" i="9"/>
  <c r="B6" i="9"/>
  <c r="B5" i="9"/>
  <c r="B3" i="9"/>
  <c r="D32" i="10"/>
  <c r="H113" i="8"/>
  <c r="L4" i="10"/>
  <c r="B13" i="8"/>
  <c r="E82" i="10"/>
  <c r="E57" i="10"/>
  <c r="E32" i="10"/>
  <c r="H23" i="10"/>
  <c r="H22" i="10"/>
  <c r="E109" i="8"/>
  <c r="E107" i="8"/>
  <c r="E61" i="8"/>
  <c r="E59" i="8"/>
  <c r="E98" i="7"/>
  <c r="E96" i="7"/>
  <c r="E60" i="8"/>
  <c r="E108" i="8"/>
  <c r="B40" i="8"/>
  <c r="B32" i="7"/>
  <c r="M36" i="7"/>
  <c r="E3" i="7"/>
  <c r="G4" i="8" s="1"/>
  <c r="E93" i="7"/>
  <c r="F32" i="8"/>
  <c r="I36" i="7"/>
  <c r="E15" i="10"/>
  <c r="E40" i="10"/>
  <c r="E65" i="10"/>
  <c r="D57" i="10"/>
  <c r="D82" i="10"/>
  <c r="J58" i="8"/>
  <c r="H53" i="8"/>
  <c r="E43" i="8"/>
  <c r="J32" i="8"/>
  <c r="E67" i="8"/>
  <c r="H118" i="8"/>
  <c r="E92" i="8"/>
  <c r="E89" i="8" s="1"/>
  <c r="E96" i="8" s="1"/>
  <c r="E80" i="7"/>
  <c r="J36" i="8"/>
  <c r="E92" i="7"/>
  <c r="F36" i="8"/>
  <c r="I32" i="7"/>
  <c r="I30" i="7" s="1"/>
  <c r="E36" i="8"/>
  <c r="M36" i="8"/>
  <c r="E103" i="8"/>
  <c r="M32" i="7"/>
  <c r="M30" i="7" s="1"/>
  <c r="N32" i="7"/>
  <c r="N30" i="7" s="1"/>
  <c r="G3" i="10"/>
  <c r="G4" i="10"/>
  <c r="D63" i="10"/>
  <c r="K20" i="8" l="1"/>
  <c r="I36" i="8"/>
  <c r="E41" i="8"/>
  <c r="E48" i="8" s="1"/>
  <c r="J59" i="8"/>
  <c r="E40" i="8"/>
  <c r="E47" i="8" s="1"/>
  <c r="E112" i="8"/>
  <c r="E119" i="8" s="1"/>
  <c r="E113" i="8"/>
  <c r="E120" i="8" s="1"/>
  <c r="J119" i="8"/>
  <c r="E20" i="8"/>
  <c r="J116" i="8"/>
  <c r="J117" i="8" s="1"/>
  <c r="J120" i="8" s="1"/>
  <c r="E56" i="8"/>
  <c r="E104" i="8"/>
  <c r="D12" i="10"/>
  <c r="D24" i="10" s="1"/>
  <c r="D33" i="10" s="1"/>
  <c r="C10" i="14"/>
  <c r="E91" i="8"/>
  <c r="E30" i="8"/>
  <c r="B111" i="8" s="1"/>
  <c r="M33" i="8"/>
  <c r="F33" i="8"/>
  <c r="F30" i="8" s="1"/>
  <c r="J33" i="8"/>
  <c r="J30" i="8" s="1"/>
  <c r="B63" i="8" s="1"/>
  <c r="E88" i="8"/>
  <c r="E95" i="8" s="1"/>
  <c r="N36" i="8"/>
  <c r="E40" i="7"/>
  <c r="E47" i="7" s="1"/>
  <c r="M40" i="7" s="1"/>
  <c r="K54" i="7"/>
  <c r="M54" i="7" s="1"/>
  <c r="E64" i="8"/>
  <c r="E71" i="8" s="1"/>
  <c r="E65" i="8"/>
  <c r="E72" i="8" s="1"/>
  <c r="D5" i="8"/>
  <c r="G2" i="8" s="1"/>
  <c r="E90" i="8"/>
  <c r="E97" i="8" s="1"/>
  <c r="E41" i="7"/>
  <c r="E48" i="7" s="1"/>
  <c r="K66" i="7"/>
  <c r="E25" i="7"/>
  <c r="H43" i="7" s="1"/>
  <c r="K39" i="7" s="1"/>
  <c r="M39" i="7" s="1"/>
  <c r="L44" i="7" s="1"/>
  <c r="B41" i="7" s="1"/>
  <c r="H18" i="7"/>
  <c r="H19" i="7" s="1"/>
  <c r="H21" i="7" s="1"/>
  <c r="H23" i="7" s="1"/>
  <c r="E68" i="7"/>
  <c r="H20" i="7"/>
  <c r="L56" i="7"/>
  <c r="B53" i="7" s="1"/>
  <c r="J2" i="7"/>
  <c r="M6" i="7" s="1"/>
  <c r="E22" i="8"/>
  <c r="K22" i="8"/>
  <c r="M41" i="7"/>
  <c r="J15" i="8"/>
  <c r="I15" i="8"/>
  <c r="F20" i="8"/>
  <c r="F22" i="8" s="1"/>
  <c r="H58" i="8"/>
  <c r="I32" i="8"/>
  <c r="H15" i="8"/>
  <c r="G15" i="8"/>
  <c r="C3" i="14"/>
  <c r="K90" i="7"/>
  <c r="M90" i="7" s="1"/>
  <c r="L92" i="7" s="1"/>
  <c r="B89" i="7" s="1"/>
  <c r="K24" i="10"/>
  <c r="K23" i="10"/>
  <c r="E65" i="7"/>
  <c r="E72" i="7" s="1"/>
  <c r="M65" i="7" s="1"/>
  <c r="E67" i="7"/>
  <c r="E74" i="7" s="1"/>
  <c r="M66" i="7" s="1"/>
  <c r="K12" i="10"/>
  <c r="K13" i="10" s="1"/>
  <c r="K16" i="10"/>
  <c r="K17" i="10" s="1"/>
  <c r="G21" i="7"/>
  <c r="G23" i="7" s="1"/>
  <c r="K78" i="7"/>
  <c r="M76" i="7"/>
  <c r="L81" i="7" s="1"/>
  <c r="B78" i="7" s="1"/>
  <c r="B10" i="14"/>
  <c r="B9" i="14"/>
  <c r="B11" i="14" s="1"/>
  <c r="B13" i="14" s="1"/>
  <c r="E115" i="8"/>
  <c r="F19" i="8"/>
  <c r="H56" i="8" s="1"/>
  <c r="H57" i="8" s="1"/>
  <c r="J56" i="8" s="1"/>
  <c r="J57" i="8" s="1"/>
  <c r="J60" i="8" s="1"/>
  <c r="B52" i="8" s="1"/>
  <c r="B12" i="14"/>
  <c r="B14" i="14" s="1"/>
  <c r="B6" i="8"/>
  <c r="Q11" i="8" s="1"/>
  <c r="E57" i="7"/>
  <c r="C8" i="14"/>
  <c r="E56" i="7"/>
  <c r="F21" i="7"/>
  <c r="F23" i="7" s="1"/>
  <c r="H25" i="7" s="1"/>
  <c r="N33" i="8"/>
  <c r="E4" i="7"/>
  <c r="J20" i="7"/>
  <c r="H93" i="7" s="1"/>
  <c r="H94" i="7" s="1"/>
  <c r="E79" i="7"/>
  <c r="E86" i="7" s="1"/>
  <c r="J32" i="7"/>
  <c r="J30" i="7" s="1"/>
  <c r="H65" i="8"/>
  <c r="I33" i="8"/>
  <c r="E77" i="7"/>
  <c r="E84" i="7" s="1"/>
  <c r="H83" i="7"/>
  <c r="K77" i="7" s="1"/>
  <c r="J3" i="7"/>
  <c r="Q12" i="8"/>
  <c r="H101" i="8"/>
  <c r="H77" i="8"/>
  <c r="B39" i="8" l="1"/>
  <c r="B99" i="8"/>
  <c r="B51" i="8"/>
  <c r="B87" i="8"/>
  <c r="L43" i="7"/>
  <c r="B40" i="7" s="1"/>
  <c r="B14" i="11"/>
  <c r="M7" i="7"/>
  <c r="B13" i="11" s="1"/>
  <c r="G24" i="7"/>
  <c r="H68" i="7" s="1"/>
  <c r="K64" i="7" s="1"/>
  <c r="M64" i="7" s="1"/>
  <c r="L69" i="7" s="1"/>
  <c r="B66" i="7" s="1"/>
  <c r="J24" i="7"/>
  <c r="P11" i="8"/>
  <c r="O11" i="8"/>
  <c r="B42" i="7"/>
  <c r="L68" i="7"/>
  <c r="B65" i="7" s="1"/>
  <c r="J94" i="8"/>
  <c r="J95" i="8" s="1"/>
  <c r="J70" i="8"/>
  <c r="J71" i="8" s="1"/>
  <c r="H82" i="8"/>
  <c r="N32" i="8"/>
  <c r="N30" i="8" s="1"/>
  <c r="B75" i="8" s="1"/>
  <c r="H20" i="8"/>
  <c r="H22" i="8" s="1"/>
  <c r="H23" i="8" s="1"/>
  <c r="H19" i="8"/>
  <c r="H80" i="8" s="1"/>
  <c r="H81" i="8" s="1"/>
  <c r="J80" i="8" s="1"/>
  <c r="J81" i="8" s="1"/>
  <c r="M32" i="8"/>
  <c r="M30" i="8" s="1"/>
  <c r="M77" i="7"/>
  <c r="I30" i="8"/>
  <c r="F24" i="7"/>
  <c r="H24" i="7"/>
  <c r="B39" i="7"/>
  <c r="B52" i="7"/>
  <c r="B76" i="7"/>
  <c r="B64" i="7"/>
  <c r="B88" i="7"/>
  <c r="I19" i="8"/>
  <c r="H92" i="8" s="1"/>
  <c r="H93" i="8" s="1"/>
  <c r="J92" i="8" s="1"/>
  <c r="J93" i="8" s="1"/>
  <c r="I20" i="8"/>
  <c r="I22" i="8" s="1"/>
  <c r="I23" i="8" s="1"/>
  <c r="H94" i="8"/>
  <c r="J19" i="8"/>
  <c r="H104" i="8" s="1"/>
  <c r="H105" i="8" s="1"/>
  <c r="J104" i="8" s="1"/>
  <c r="J105" i="8" s="1"/>
  <c r="J106" i="8"/>
  <c r="J107" i="8" s="1"/>
  <c r="J20" i="8"/>
  <c r="J22" i="8" s="1"/>
  <c r="H106" i="8"/>
  <c r="C12" i="14"/>
  <c r="C14" i="14" s="1"/>
  <c r="C11" i="14"/>
  <c r="C13" i="14" s="1"/>
  <c r="K88" i="7"/>
  <c r="M88" i="7" s="1"/>
  <c r="L93" i="7" s="1"/>
  <c r="B90" i="7" s="1"/>
  <c r="B91" i="7" s="1"/>
  <c r="J4" i="10"/>
  <c r="B14" i="9"/>
  <c r="Q13" i="8"/>
  <c r="B13" i="9"/>
  <c r="D73" i="10"/>
  <c r="P12" i="8"/>
  <c r="O12" i="8"/>
  <c r="M78" i="7"/>
  <c r="N6" i="7"/>
  <c r="N7" i="7" s="1"/>
  <c r="G3" i="8"/>
  <c r="Q14" i="8" s="1"/>
  <c r="I24" i="7"/>
  <c r="E24" i="7"/>
  <c r="F25" i="7"/>
  <c r="F26" i="7"/>
  <c r="G20" i="8"/>
  <c r="G22" i="8" s="1"/>
  <c r="G23" i="8" s="1"/>
  <c r="H70" i="8"/>
  <c r="G19" i="8"/>
  <c r="H68" i="8" s="1"/>
  <c r="H69" i="8" s="1"/>
  <c r="J68" i="8" s="1"/>
  <c r="J69" i="8" s="1"/>
  <c r="F26" i="8" l="1"/>
  <c r="Q15" i="8" s="1"/>
  <c r="L80" i="7"/>
  <c r="B77" i="7" s="1"/>
  <c r="B79" i="7" s="1"/>
  <c r="Q10" i="8"/>
  <c r="Q9" i="8" s="1"/>
  <c r="B2" i="9"/>
  <c r="I8" i="9"/>
  <c r="J21" i="8"/>
  <c r="J23" i="8" s="1"/>
  <c r="J96" i="8"/>
  <c r="B88" i="8" s="1"/>
  <c r="E16" i="11"/>
  <c r="D74" i="10"/>
  <c r="D83" i="10" s="1"/>
  <c r="D48" i="10"/>
  <c r="E15" i="11"/>
  <c r="J108" i="8"/>
  <c r="B100" i="8" s="1"/>
  <c r="F21" i="8"/>
  <c r="F23" i="8" s="1"/>
  <c r="P10" i="8"/>
  <c r="H62" i="10"/>
  <c r="H12" i="10"/>
  <c r="M3" i="10"/>
  <c r="H3" i="10" s="1"/>
  <c r="H61" i="10"/>
  <c r="H11" i="10"/>
  <c r="B67" i="7"/>
  <c r="G25" i="7"/>
  <c r="H56" i="7"/>
  <c r="K52" i="7" s="1"/>
  <c r="M52" i="7" s="1"/>
  <c r="L57" i="7" s="1"/>
  <c r="B54" i="7" s="1"/>
  <c r="B55" i="7" s="1"/>
  <c r="J8" i="9"/>
  <c r="C17" i="11" s="1"/>
  <c r="B93" i="7"/>
  <c r="B69" i="7"/>
  <c r="B70" i="7" s="1"/>
  <c r="C13" i="11"/>
  <c r="D13" i="11" s="1"/>
  <c r="C14" i="11"/>
  <c r="D14" i="11" s="1"/>
  <c r="B81" i="7"/>
  <c r="B44" i="7"/>
  <c r="B45" i="7" s="1"/>
  <c r="J72" i="8"/>
  <c r="B64" i="8" s="1"/>
  <c r="J89" i="8" l="1"/>
  <c r="C16" i="11"/>
  <c r="J113" i="8"/>
  <c r="J101" i="8"/>
  <c r="F13" i="11"/>
  <c r="G13" i="11" s="1"/>
  <c r="I13" i="11"/>
  <c r="J13" i="11" s="1"/>
  <c r="K13" i="11" s="1"/>
  <c r="L13" i="11" s="1"/>
  <c r="H13" i="11"/>
  <c r="I14" i="11"/>
  <c r="J14" i="11" s="1"/>
  <c r="K14" i="11" s="1"/>
  <c r="L14" i="11" s="1"/>
  <c r="F14" i="11"/>
  <c r="G14" i="11" s="1"/>
  <c r="H14" i="11"/>
  <c r="B92" i="7"/>
  <c r="B95" i="7" s="1"/>
  <c r="J9" i="9"/>
  <c r="C18" i="11" s="1"/>
  <c r="B17" i="11"/>
  <c r="D17" i="11" s="1"/>
  <c r="I9" i="9"/>
  <c r="B18" i="11" s="1"/>
  <c r="K21" i="8"/>
  <c r="K23" i="8" s="1"/>
  <c r="E24" i="8" s="1"/>
  <c r="B16" i="11"/>
  <c r="J112" i="8"/>
  <c r="D49" i="10"/>
  <c r="D58" i="10" s="1"/>
  <c r="B68" i="7"/>
  <c r="B71" i="7" s="1"/>
  <c r="J88" i="8"/>
  <c r="P9" i="8"/>
  <c r="B82" i="7"/>
  <c r="B80" i="7" s="1"/>
  <c r="B83" i="7" s="1"/>
  <c r="K14" i="10"/>
  <c r="K15" i="10" s="1"/>
  <c r="K18" i="10" s="1"/>
  <c r="B57" i="7"/>
  <c r="J100" i="8"/>
  <c r="B43" i="7"/>
  <c r="B46" i="7" s="1"/>
  <c r="B94" i="7"/>
  <c r="J77" i="8"/>
  <c r="J53" i="8"/>
  <c r="J64" i="8"/>
  <c r="J41" i="8"/>
  <c r="C15" i="11"/>
  <c r="D16" i="11" l="1"/>
  <c r="H16" i="11" s="1"/>
  <c r="E64" i="10"/>
  <c r="E74" i="10" s="1"/>
  <c r="E83" i="10" s="1"/>
  <c r="E39" i="10"/>
  <c r="E49" i="10" s="1"/>
  <c r="E58" i="10" s="1"/>
  <c r="E14" i="10"/>
  <c r="E24" i="10" s="1"/>
  <c r="E33" i="10" s="1"/>
  <c r="J90" i="8"/>
  <c r="J91" i="8" s="1"/>
  <c r="J97" i="8" s="1"/>
  <c r="B89" i="8" s="1"/>
  <c r="H91" i="8"/>
  <c r="B58" i="7"/>
  <c r="B56" i="7" s="1"/>
  <c r="B59" i="7" s="1"/>
  <c r="H1" i="14" s="1"/>
  <c r="B15" i="11"/>
  <c r="D15" i="11" s="1"/>
  <c r="E21" i="8"/>
  <c r="E23" i="8" s="1"/>
  <c r="J65" i="8"/>
  <c r="J66" i="8" s="1"/>
  <c r="J67" i="8" s="1"/>
  <c r="J73" i="8" s="1"/>
  <c r="B65" i="8" s="1"/>
  <c r="J40" i="8"/>
  <c r="J52" i="8"/>
  <c r="J76" i="8"/>
  <c r="H103" i="8"/>
  <c r="J102" i="8"/>
  <c r="J103" i="8" s="1"/>
  <c r="J109" i="8" s="1"/>
  <c r="B101" i="8" s="1"/>
  <c r="F16" i="11"/>
  <c r="G16" i="11" s="1"/>
  <c r="I35" i="12" s="1"/>
  <c r="I16" i="11"/>
  <c r="J16" i="11" s="1"/>
  <c r="K16" i="11" s="1"/>
  <c r="L16" i="11" s="1"/>
  <c r="D18" i="11"/>
  <c r="B2" i="11"/>
  <c r="B15" i="7" s="1"/>
  <c r="I7" i="12"/>
  <c r="J114" i="8"/>
  <c r="J115" i="8" s="1"/>
  <c r="J121" i="8" s="1"/>
  <c r="B113" i="8" s="1"/>
  <c r="H115" i="8"/>
  <c r="I17" i="11"/>
  <c r="J17" i="11" s="1"/>
  <c r="K17" i="11" s="1"/>
  <c r="L17" i="11" s="1"/>
  <c r="F17" i="11"/>
  <c r="G17" i="11" s="1"/>
  <c r="B4" i="11" s="1"/>
  <c r="B15" i="9" s="1"/>
  <c r="H17" i="11"/>
  <c r="B66" i="8" l="1"/>
  <c r="B68" i="8"/>
  <c r="K7" i="14"/>
  <c r="K4" i="14"/>
  <c r="K5" i="14"/>
  <c r="K6" i="14"/>
  <c r="I8" i="12"/>
  <c r="I10" i="12" s="1"/>
  <c r="L12" i="12" s="1"/>
  <c r="L13" i="12" s="1"/>
  <c r="L14" i="12"/>
  <c r="I9" i="12"/>
  <c r="I11" i="12" s="1"/>
  <c r="H67" i="8"/>
  <c r="F15" i="11"/>
  <c r="G15" i="11" s="1"/>
  <c r="I15" i="11"/>
  <c r="J15" i="11" s="1"/>
  <c r="K15" i="11" s="1"/>
  <c r="L15" i="11" s="1"/>
  <c r="H15" i="11"/>
  <c r="I37" i="12"/>
  <c r="I39" i="12" s="1"/>
  <c r="I36" i="12"/>
  <c r="I38" i="12" s="1"/>
  <c r="L40" i="12" s="1"/>
  <c r="L41" i="12" s="1"/>
  <c r="L42" i="12"/>
  <c r="B102" i="8"/>
  <c r="B104" i="8"/>
  <c r="B90" i="8"/>
  <c r="B92" i="8"/>
  <c r="B114" i="8"/>
  <c r="B116" i="8"/>
  <c r="F18" i="11"/>
  <c r="G18" i="11" s="1"/>
  <c r="H18" i="11"/>
  <c r="I18" i="11"/>
  <c r="J18" i="11" s="1"/>
  <c r="K18" i="11" s="1"/>
  <c r="L18" i="11" s="1"/>
  <c r="E25" i="8"/>
  <c r="F25" i="8"/>
  <c r="G25" i="8" s="1"/>
  <c r="J24" i="8"/>
  <c r="K25" i="8"/>
  <c r="J25" i="8"/>
  <c r="I25" i="8" s="1"/>
  <c r="K24" i="8"/>
  <c r="F24" i="8"/>
  <c r="G24" i="8"/>
  <c r="H24" i="8"/>
  <c r="I24" i="8"/>
  <c r="H25" i="8"/>
  <c r="J78" i="8"/>
  <c r="J79" i="8" s="1"/>
  <c r="J85" i="8" s="1"/>
  <c r="B77" i="8" s="1"/>
  <c r="H79" i="8"/>
  <c r="H43" i="8"/>
  <c r="J42" i="8"/>
  <c r="J54" i="8"/>
  <c r="H55" i="8"/>
  <c r="I21" i="12" l="1"/>
  <c r="B3" i="11"/>
  <c r="B14" i="8" s="1"/>
  <c r="J82" i="8" s="1"/>
  <c r="J83" i="8" s="1"/>
  <c r="J84" i="8" s="1"/>
  <c r="B76" i="8" s="1"/>
  <c r="B117" i="8"/>
  <c r="B115" i="8" s="1"/>
  <c r="B118" i="8" s="1"/>
  <c r="B93" i="8"/>
  <c r="B91" i="8" s="1"/>
  <c r="B94" i="8" s="1"/>
  <c r="B105" i="8"/>
  <c r="B103" i="8" s="1"/>
  <c r="B106" i="8" s="1"/>
  <c r="J43" i="8"/>
  <c r="J49" i="8" s="1"/>
  <c r="B41" i="8" s="1"/>
  <c r="J55" i="8"/>
  <c r="J61" i="8" s="1"/>
  <c r="B53" i="8" s="1"/>
  <c r="B69" i="8"/>
  <c r="B67" i="8" s="1"/>
  <c r="B70" i="8" s="1"/>
  <c r="B78" i="8"/>
  <c r="B80" i="8"/>
  <c r="B81" i="8" s="1"/>
  <c r="B54" i="8" l="1"/>
  <c r="B56" i="8"/>
  <c r="B79" i="8"/>
  <c r="B82" i="8" s="1"/>
  <c r="B42" i="8"/>
  <c r="B44" i="8"/>
  <c r="I23" i="12"/>
  <c r="I25" i="12" s="1"/>
  <c r="I22" i="12"/>
  <c r="I24" i="12" s="1"/>
  <c r="L26" i="12" s="1"/>
  <c r="L27" i="12" s="1"/>
  <c r="L28" i="12"/>
  <c r="B45" i="8" l="1"/>
  <c r="B43" i="8" s="1"/>
  <c r="B46" i="8" s="1"/>
  <c r="B57" i="8"/>
  <c r="B55" i="8" s="1"/>
  <c r="B58" i="8" s="1"/>
</calcChain>
</file>

<file path=xl/sharedStrings.xml><?xml version="1.0" encoding="utf-8"?>
<sst xmlns="http://schemas.openxmlformats.org/spreadsheetml/2006/main" count="1060" uniqueCount="365">
  <si>
    <t>Input Shaft</t>
  </si>
  <si>
    <t>Lengths from FBD</t>
  </si>
  <si>
    <t>Forces from FBD</t>
  </si>
  <si>
    <t>Name</t>
  </si>
  <si>
    <t>Distance</t>
  </si>
  <si>
    <t>Force</t>
  </si>
  <si>
    <t>x</t>
  </si>
  <si>
    <t>y</t>
  </si>
  <si>
    <t>z</t>
  </si>
  <si>
    <t>Input Torque (Nm)</t>
  </si>
  <si>
    <t>Bearing Weight (N): </t>
  </si>
  <si>
    <t>B1G</t>
  </si>
  <si>
    <t>Fg1</t>
  </si>
  <si>
    <t>Large Gear Diameter (mm)</t>
  </si>
  <si>
    <t>Weight Gear</t>
  </si>
  <si>
    <t>B1B2</t>
  </si>
  <si>
    <t>Fg1a</t>
  </si>
  <si>
    <t>Input Speed (rpm)</t>
  </si>
  <si>
    <t>B1s</t>
  </si>
  <si>
    <t>Fg1r</t>
  </si>
  <si>
    <t>Gear Ratio</t>
  </si>
  <si>
    <t>Fws</t>
  </si>
  <si>
    <t>Shoulder height</t>
  </si>
  <si>
    <t>Frb2</t>
  </si>
  <si>
    <t>Shaft density</t>
  </si>
  <si>
    <t>Input Shaft Weight</t>
  </si>
  <si>
    <t>Frb1</t>
  </si>
  <si>
    <t>Gear density</t>
  </si>
  <si>
    <t>Section</t>
  </si>
  <si>
    <t>g (m/s^2)</t>
  </si>
  <si>
    <t>gear</t>
  </si>
  <si>
    <t>Helix Angle</t>
  </si>
  <si>
    <t>bearing</t>
  </si>
  <si>
    <t>turbine</t>
  </si>
  <si>
    <t>Pressure Angle</t>
  </si>
  <si>
    <t>Side view</t>
  </si>
  <si>
    <t>Sut</t>
  </si>
  <si>
    <t>Sy</t>
  </si>
  <si>
    <t>Preload</t>
  </si>
  <si>
    <t>Feature</t>
  </si>
  <si>
    <t>shoulder</t>
  </si>
  <si>
    <t>keyway</t>
  </si>
  <si>
    <t>Input Keyway</t>
  </si>
  <si>
    <t>Diameter (mm)</t>
  </si>
  <si>
    <t>Length (mm)</t>
  </si>
  <si>
    <t>Points to consider</t>
  </si>
  <si>
    <t>Cutouts (mm^2)</t>
  </si>
  <si>
    <t>1-2 shoulder</t>
  </si>
  <si>
    <t>Cutouts (mm^3)</t>
  </si>
  <si>
    <t>2 keyway</t>
  </si>
  <si>
    <t>I of section (mm^4)</t>
  </si>
  <si>
    <t>2-3 shoulder</t>
  </si>
  <si>
    <t>Volume (mm^3)</t>
  </si>
  <si>
    <t>3-4 large shoulder</t>
  </si>
  <si>
    <t>External vertical forces (N) ( assumed applied at centre of section)</t>
  </si>
  <si>
    <t>5 keyway</t>
  </si>
  <si>
    <t>Weight + forces (N)</t>
  </si>
  <si>
    <t>Moments - Equivalent weight moments at centre of each section (N*m) (z-axis)</t>
  </si>
  <si>
    <t>Moments - Equivalent weight moments at Edge POI(N*m) (z-axis)</t>
  </si>
  <si>
    <t>Total Weight (N)</t>
  </si>
  <si>
    <t>DShaft1</t>
  </si>
  <si>
    <t>Axial</t>
  </si>
  <si>
    <t>Bending</t>
  </si>
  <si>
    <t>DShaft2</t>
  </si>
  <si>
    <t>DShaft3</t>
  </si>
  <si>
    <t>Ft (N)</t>
  </si>
  <si>
    <t>Cor. Se:</t>
  </si>
  <si>
    <t>Fa</t>
  </si>
  <si>
    <t>Cload</t>
  </si>
  <si>
    <t>Fr</t>
  </si>
  <si>
    <t>Csize</t>
  </si>
  <si>
    <t>Fw</t>
  </si>
  <si>
    <t>Csurf</t>
  </si>
  <si>
    <t>Fpre</t>
  </si>
  <si>
    <t>Ctemp</t>
  </si>
  <si>
    <t>Creliab</t>
  </si>
  <si>
    <t>Se'</t>
  </si>
  <si>
    <t>Se</t>
  </si>
  <si>
    <t>Point 1: Bearing to Shoulder</t>
  </si>
  <si>
    <t>σ Bending nom</t>
  </si>
  <si>
    <t>σ Bending Cor.</t>
  </si>
  <si>
    <t>Cor. Mean</t>
  </si>
  <si>
    <t>Kt Axial</t>
  </si>
  <si>
    <t>Tension</t>
  </si>
  <si>
    <t>σ Axial nom</t>
  </si>
  <si>
    <t>σ Axial Cor.</t>
  </si>
  <si>
    <t>Cor. Amp</t>
  </si>
  <si>
    <t>Kt Moment</t>
  </si>
  <si>
    <t>Torsion</t>
  </si>
  <si>
    <t>τ Torsion Nom</t>
  </si>
  <si>
    <t>τ Torsion Cor.</t>
  </si>
  <si>
    <t>OZ</t>
  </si>
  <si>
    <t>kt Torsional</t>
  </si>
  <si>
    <t>Shear</t>
  </si>
  <si>
    <t>ZS</t>
  </si>
  <si>
    <t>D/d:</t>
  </si>
  <si>
    <t>Moment</t>
  </si>
  <si>
    <t xml:space="preserve"> σ Mean Von Mises</t>
  </si>
  <si>
    <t>Cor. Mean @S</t>
  </si>
  <si>
    <t>r/d:</t>
  </si>
  <si>
    <t>I (m^4)</t>
  </si>
  <si>
    <t> σ Alternating Von Mises</t>
  </si>
  <si>
    <t>Cor. Amp@S</t>
  </si>
  <si>
    <t>r:</t>
  </si>
  <si>
    <t>&lt;-- different</t>
  </si>
  <si>
    <t>J</t>
  </si>
  <si>
    <t>Safety Factor</t>
  </si>
  <si>
    <t>q:</t>
  </si>
  <si>
    <t>Area (m^2)</t>
  </si>
  <si>
    <t>Kf Axial:</t>
  </si>
  <si>
    <t>&lt;- Kf = Kt</t>
  </si>
  <si>
    <t>Kf Moment:</t>
  </si>
  <si>
    <t>Kf Torsional:</t>
  </si>
  <si>
    <t xml:space="preserve"> </t>
  </si>
  <si>
    <t>Point 2: keyway</t>
  </si>
  <si>
    <t>assumed</t>
  </si>
  <si>
    <t>p.607</t>
  </si>
  <si>
    <t>Point 3: Gear to Shoulder</t>
  </si>
  <si>
    <t>Point 4: Large Shoulder to Bearing</t>
  </si>
  <si>
    <t>Point 5: Coupling to turbine (keyway)</t>
  </si>
  <si>
    <t>Intermediate Shaft</t>
  </si>
  <si>
    <t>Torque (Nm)</t>
  </si>
  <si>
    <t>Dshaft1</t>
  </si>
  <si>
    <t>Weight Pinion</t>
  </si>
  <si>
    <t>Gear Diameter(mm)</t>
  </si>
  <si>
    <t>Speed (rpm)</t>
  </si>
  <si>
    <t>Dpinion</t>
  </si>
  <si>
    <t>Pinion Diameter(mm)</t>
  </si>
  <si>
    <t>Intermediate Shaft Weight</t>
  </si>
  <si>
    <t>pinion</t>
  </si>
  <si>
    <t>gear 2</t>
  </si>
  <si>
    <t>B1G1</t>
  </si>
  <si>
    <t>Reaction B1</t>
  </si>
  <si>
    <t>bearing 1</t>
  </si>
  <si>
    <t>bearing 2</t>
  </si>
  <si>
    <t>B1G2</t>
  </si>
  <si>
    <t>Reaction B2</t>
  </si>
  <si>
    <t>Gear 1</t>
  </si>
  <si>
    <t>Gear 2</t>
  </si>
  <si>
    <t>Weight G1</t>
  </si>
  <si>
    <t>Features</t>
  </si>
  <si>
    <t>compression?</t>
  </si>
  <si>
    <t>Weight G2</t>
  </si>
  <si>
    <t>Diameter (mm)  (DShaft1,DShaft2,DShaft3)</t>
  </si>
  <si>
    <t>Weight Shaft</t>
  </si>
  <si>
    <t>Cutouts area (mm^2)</t>
  </si>
  <si>
    <t>Cutouts volume (mm^3)</t>
  </si>
  <si>
    <t>External Forces (N) (vertical)( assumed applied at centre of section)</t>
  </si>
  <si>
    <t>Weight (N)</t>
  </si>
  <si>
    <t>Weight + Forces (N)</t>
  </si>
  <si>
    <t>Moments - Equivalent weight moments at centre of section (N*m)</t>
  </si>
  <si>
    <t>Slot for FBD</t>
  </si>
  <si>
    <t>3 compression?</t>
  </si>
  <si>
    <t>3-4 shoulder</t>
  </si>
  <si>
    <t>4 keyway</t>
  </si>
  <si>
    <t>4-5 shoulder</t>
  </si>
  <si>
    <t>Point 1: Left Bearing to Gear Shoulder</t>
  </si>
  <si>
    <t>Loading</t>
  </si>
  <si>
    <t>Mz1</t>
  </si>
  <si>
    <t>My1</t>
  </si>
  <si>
    <t>σ Bending Max 1</t>
  </si>
  <si>
    <t>σ Bending Cor 1</t>
  </si>
  <si>
    <t>τ Torsion Nom 1</t>
  </si>
  <si>
    <t>τ Torsion Cor. 1</t>
  </si>
  <si>
    <t> σ Mean Von Mises</t>
  </si>
  <si>
    <t> σ Amplitude Von Mises</t>
  </si>
  <si>
    <t>Point 2 (left keyway)</t>
  </si>
  <si>
    <t>Mz2</t>
  </si>
  <si>
    <t>My2</t>
  </si>
  <si>
    <t>σ Bending Max 2</t>
  </si>
  <si>
    <t>σ Bending Cor 2</t>
  </si>
  <si>
    <t>τ Torsion Nom 2</t>
  </si>
  <si>
    <t>τ Torsion Cor. 2</t>
  </si>
  <si>
    <t xml:space="preserve"> σ Amplitude Von Mises</t>
  </si>
  <si>
    <t>Point 3 (inner left shoulder)</t>
  </si>
  <si>
    <t>Mz3</t>
  </si>
  <si>
    <t>My3</t>
  </si>
  <si>
    <t>σ Bending Max 3</t>
  </si>
  <si>
    <t>σ Bending Cor 3</t>
  </si>
  <si>
    <t>τ Torsion Nom 3</t>
  </si>
  <si>
    <t>τ Torsion Cor. 3</t>
  </si>
  <si>
    <t>Point 4 (compression? unlikely)</t>
  </si>
  <si>
    <t>Mz4</t>
  </si>
  <si>
    <t>My4</t>
  </si>
  <si>
    <t>σ Bending Max 4</t>
  </si>
  <si>
    <t>σ Bending Cor 4</t>
  </si>
  <si>
    <t>τ Torsion Nom 4</t>
  </si>
  <si>
    <t>τ Torsion Cor. 4</t>
  </si>
  <si>
    <t>Point 5 (inner right shoulder)</t>
  </si>
  <si>
    <t>Mz5</t>
  </si>
  <si>
    <t>My5</t>
  </si>
  <si>
    <t>σ Bending Max 5</t>
  </si>
  <si>
    <t>σ Bending Cor 5</t>
  </si>
  <si>
    <t>τ Torsion Nom 5</t>
  </si>
  <si>
    <t xml:space="preserve">τ Torsion Cor. 5 </t>
  </si>
  <si>
    <t>Point 6 (keyway)</t>
  </si>
  <si>
    <t>Mz6</t>
  </si>
  <si>
    <t>My6</t>
  </si>
  <si>
    <t>σ Bending Max 6</t>
  </si>
  <si>
    <t>σ Bending Cor 6</t>
  </si>
  <si>
    <t>τ Torsion Nom 6</t>
  </si>
  <si>
    <t>τ Torsion Cor. 6</t>
  </si>
  <si>
    <t>Point 7 (right gear to bearing shoulder)</t>
  </si>
  <si>
    <t>Mz7</t>
  </si>
  <si>
    <t>My7</t>
  </si>
  <si>
    <t>σ Bending Max 7</t>
  </si>
  <si>
    <t>σ Bending Cor 7</t>
  </si>
  <si>
    <t>τ Torsion Nom 7</t>
  </si>
  <si>
    <t>τ Torsion Cor. 7</t>
  </si>
  <si>
    <t>Output Shaft</t>
  </si>
  <si>
    <t>Gears</t>
  </si>
  <si>
    <t>Gear Specifications</t>
  </si>
  <si>
    <t>Number of Teeth</t>
  </si>
  <si>
    <t>Module</t>
  </si>
  <si>
    <t>Addendum</t>
  </si>
  <si>
    <t>Dedendum</t>
  </si>
  <si>
    <t>Contact Ratio</t>
  </si>
  <si>
    <t>Gear Quantity</t>
  </si>
  <si>
    <t>Pitch Radius</t>
  </si>
  <si>
    <t>Pressure angle</t>
  </si>
  <si>
    <t>Face Width</t>
  </si>
  <si>
    <t>Length of action(Z)</t>
  </si>
  <si>
    <t>Gear</t>
  </si>
  <si>
    <t>Pinion</t>
  </si>
  <si>
    <t>Number of Cycles</t>
  </si>
  <si>
    <t>&lt;--- Each gear cycles a different amount of times, need to take this into account.</t>
  </si>
  <si>
    <t>Material</t>
  </si>
  <si>
    <t>Carburized and case hardened 64HRC</t>
  </si>
  <si>
    <t>Number of Cycles(Gear 1)</t>
  </si>
  <si>
    <t>Input Gear</t>
  </si>
  <si>
    <t>General Data</t>
  </si>
  <si>
    <t>Surface</t>
  </si>
  <si>
    <t>ro(g):</t>
  </si>
  <si>
    <t>Variables for I:</t>
  </si>
  <si>
    <t>ro(p):</t>
  </si>
  <si>
    <t>Axial contact ratio(mf)</t>
  </si>
  <si>
    <t>Modulus</t>
  </si>
  <si>
    <t>na</t>
  </si>
  <si>
    <t>Geometry Factor(J, I)</t>
  </si>
  <si>
    <t>A:</t>
  </si>
  <si>
    <t>nr</t>
  </si>
  <si>
    <t>Dynamic Factor(Kv, Cv)</t>
  </si>
  <si>
    <t>B:</t>
  </si>
  <si>
    <t>Lmin</t>
  </si>
  <si>
    <t>Load Distribution(Km, Cm)</t>
  </si>
  <si>
    <t>Vt:</t>
  </si>
  <si>
    <t>theta,n</t>
  </si>
  <si>
    <t>Application Factor(Ka, Ca)</t>
  </si>
  <si>
    <t>phi,b</t>
  </si>
  <si>
    <t>Size Factor(Ks, Cs)</t>
  </si>
  <si>
    <t>v (Poisson)</t>
  </si>
  <si>
    <t>mn</t>
  </si>
  <si>
    <t>Rim Thickness Factor(Kb)</t>
  </si>
  <si>
    <t>NA</t>
  </si>
  <si>
    <t>Modulus of Elasticity</t>
  </si>
  <si>
    <t>Idler factor(Ki)</t>
  </si>
  <si>
    <t>Elastic Coefficient (Cp)</t>
  </si>
  <si>
    <t>Service Intervals(hr):</t>
  </si>
  <si>
    <t>Surface Finish Factor(Cf)</t>
  </si>
  <si>
    <t>Gear 1:</t>
  </si>
  <si>
    <t>Wt</t>
  </si>
  <si>
    <t>Pinion 1:</t>
  </si>
  <si>
    <t>Stress</t>
  </si>
  <si>
    <t>Gear 2:</t>
  </si>
  <si>
    <t>Pinion 2:</t>
  </si>
  <si>
    <t>Safety factors</t>
  </si>
  <si>
    <t>Fatigue Strength (uncorected)</t>
  </si>
  <si>
    <t>Life Factor(Kl,Cl)</t>
  </si>
  <si>
    <t>Temperature Factor(Kt,Ct)</t>
  </si>
  <si>
    <t>Reliability Factor(Kr,Cr)</t>
  </si>
  <si>
    <t>Hardness Ratio Factor(Ch)</t>
  </si>
  <si>
    <t>Corrected Fatigue Strength</t>
  </si>
  <si>
    <t>First Pinion</t>
  </si>
  <si>
    <t>Geometry Factor(J,I)</t>
  </si>
  <si>
    <t>Second Gear</t>
  </si>
  <si>
    <t>Size Factor(Ks)</t>
  </si>
  <si>
    <t>Bearings</t>
  </si>
  <si>
    <t>Bearing Preload Input</t>
  </si>
  <si>
    <t>Input shaft speed</t>
  </si>
  <si>
    <t>Bearing Preload Intermediate</t>
  </si>
  <si>
    <t>Secondary shaft speed</t>
  </si>
  <si>
    <t>Bearing Preload output</t>
  </si>
  <si>
    <t xml:space="preserve">Output shaft </t>
  </si>
  <si>
    <t>C</t>
  </si>
  <si>
    <t>X</t>
  </si>
  <si>
    <t>Y</t>
  </si>
  <si>
    <t>V</t>
  </si>
  <si>
    <t>e</t>
  </si>
  <si>
    <t>Kr</t>
  </si>
  <si>
    <t>Bearing summaries</t>
  </si>
  <si>
    <t>Fy</t>
  </si>
  <si>
    <t>Fz</t>
  </si>
  <si>
    <t>Internal axial force</t>
  </si>
  <si>
    <t>Required Preload</t>
  </si>
  <si>
    <t>Fa/VFr</t>
  </si>
  <si>
    <t>P</t>
  </si>
  <si>
    <t>L10</t>
  </si>
  <si>
    <t>Lp</t>
  </si>
  <si>
    <t>Service interval (hr)</t>
  </si>
  <si>
    <t>Fasteners</t>
  </si>
  <si>
    <t>Input/Output shaft end cap(4 bolts)</t>
  </si>
  <si>
    <t>Forces:</t>
  </si>
  <si>
    <t>Strengths:</t>
  </si>
  <si>
    <t>Bolt diameter</t>
  </si>
  <si>
    <t>MoE</t>
  </si>
  <si>
    <t>Preload(Fi)</t>
  </si>
  <si>
    <t>Class</t>
  </si>
  <si>
    <t>Threaded length (Lthd)</t>
  </si>
  <si>
    <t>Stiffness of the bolt (kb')</t>
  </si>
  <si>
    <t>X-dir force/ # bolts(P)</t>
  </si>
  <si>
    <t>Proof (Sp)</t>
  </si>
  <si>
    <t>Total length of the bolt (Lbolt)</t>
  </si>
  <si>
    <t>Material stiffness(km)</t>
  </si>
  <si>
    <t>Pb</t>
  </si>
  <si>
    <t>Yield (Sy)</t>
  </si>
  <si>
    <t>Shank length (Ls)</t>
  </si>
  <si>
    <t>Joint's Stiffness constant (C)</t>
  </si>
  <si>
    <t>Pm</t>
  </si>
  <si>
    <t>Tensile(Sut)</t>
  </si>
  <si>
    <t>Length of thread (Lt)</t>
  </si>
  <si>
    <t>j</t>
  </si>
  <si>
    <t>Fb</t>
  </si>
  <si>
    <t>Total length of material (L)</t>
  </si>
  <si>
    <t>r</t>
  </si>
  <si>
    <t>Fm</t>
  </si>
  <si>
    <t>Safety Factors:</t>
  </si>
  <si>
    <t>Tensile stress Area (At)</t>
  </si>
  <si>
    <t>po</t>
  </si>
  <si>
    <t>Po</t>
  </si>
  <si>
    <t>Tensile stress bolt (sigma,b)</t>
  </si>
  <si>
    <t>p1</t>
  </si>
  <si>
    <t>Safety factor(SF)</t>
  </si>
  <si>
    <t>p2</t>
  </si>
  <si>
    <t>Safety factor separation(Nsep)</t>
  </si>
  <si>
    <t>p3</t>
  </si>
  <si>
    <t>Intermediate shaft end cap(5 bolts,input side)</t>
  </si>
  <si>
    <t>Intermediate shaft end cap(4 bolts, output side)</t>
  </si>
  <si>
    <t>Case Cap(14 bolts)</t>
  </si>
  <si>
    <t>N/A</t>
  </si>
  <si>
    <t>Key Failure</t>
  </si>
  <si>
    <t>Lowest SF of input shaft</t>
  </si>
  <si>
    <t>Input key</t>
  </si>
  <si>
    <t>First pinion key</t>
  </si>
  <si>
    <t>Sy (Yield strength)</t>
  </si>
  <si>
    <t>Material: 4140 Steel Q&amp;T at 400°F</t>
  </si>
  <si>
    <t>Options for materials</t>
  </si>
  <si>
    <t>Lowest SF</t>
  </si>
  <si>
    <t>SF key &lt;= SF for shaft?</t>
  </si>
  <si>
    <t>Width (mm)</t>
  </si>
  <si>
    <t>4140 Steel Q&amp;T at 400°F  (same as shafts)</t>
  </si>
  <si>
    <t>Height (mm)</t>
  </si>
  <si>
    <t>4130 Steel Q&amp;T at 800°F </t>
  </si>
  <si>
    <t>1095 Carbon Steel Q&amp;T at 800°F </t>
  </si>
  <si>
    <t>1095 Carbon Steel Q&amp;T at 600°F </t>
  </si>
  <si>
    <t>Applied force (N)</t>
  </si>
  <si>
    <t>A_shear (m^2)</t>
  </si>
  <si>
    <t>A_bearing (m^2)</t>
  </si>
  <si>
    <t>τ (Shear)</t>
  </si>
  <si>
    <t>σ (Bearing stress)</t>
  </si>
  <si>
    <t>SF_shear</t>
  </si>
  <si>
    <t>SF_bearing</t>
  </si>
  <si>
    <t>COLOUR SCHEME</t>
  </si>
  <si>
    <t>Input</t>
  </si>
  <si>
    <t>Calculation</t>
  </si>
  <si>
    <t>Linked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</si>
</sst>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;[Red]0.00"/>
    <numFmt numFmtId="167" formatCode="0.00000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ED7D3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ED7D3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75717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8CBA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EDED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rgb="FFFF8001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 style="thick">
        <color theme="4" tint="0.499984740745262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double">
        <color rgb="FFFF8001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/>
      <diagonal/>
    </border>
    <border>
      <left style="thin">
        <color rgb="FF7F7F7F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000000"/>
      </right>
      <top/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3" applyNumberFormat="0" applyAlignment="0" applyProtection="0"/>
    <xf numFmtId="0" fontId="5" fillId="3" borderId="4" applyNumberFormat="0" applyAlignment="0" applyProtection="0"/>
    <xf numFmtId="0" fontId="6" fillId="3" borderId="3" applyNumberFormat="0" applyAlignment="0" applyProtection="0"/>
    <xf numFmtId="0" fontId="7" fillId="0" borderId="5" applyNumberFormat="0" applyFill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9" fillId="0" borderId="50" applyNumberFormat="0" applyFill="0" applyAlignment="0" applyProtection="0"/>
    <xf numFmtId="0" fontId="20" fillId="8" borderId="55" applyNumberFormat="0" applyAlignment="0" applyProtection="0"/>
    <xf numFmtId="0" fontId="21" fillId="9" borderId="0" applyNumberFormat="0" applyBorder="0" applyAlignment="0" applyProtection="0"/>
  </cellStyleXfs>
  <cellXfs count="233">
    <xf numFmtId="0" fontId="0" fillId="0" borderId="0" xfId="0"/>
    <xf numFmtId="0" fontId="1" fillId="0" borderId="0" xfId="0" applyFont="1"/>
    <xf numFmtId="0" fontId="6" fillId="3" borderId="3" xfId="6"/>
    <xf numFmtId="0" fontId="4" fillId="2" borderId="3" xfId="4"/>
    <xf numFmtId="0" fontId="1" fillId="0" borderId="0" xfId="8"/>
    <xf numFmtId="11" fontId="4" fillId="2" borderId="3" xfId="4" applyNumberFormat="1"/>
    <xf numFmtId="11" fontId="5" fillId="3" borderId="4" xfId="5" applyNumberFormat="1"/>
    <xf numFmtId="0" fontId="3" fillId="0" borderId="0" xfId="3"/>
    <xf numFmtId="0" fontId="3" fillId="0" borderId="0" xfId="3" applyFill="1" applyBorder="1"/>
    <xf numFmtId="0" fontId="2" fillId="0" borderId="6" xfId="1" applyBorder="1"/>
    <xf numFmtId="0" fontId="0" fillId="0" borderId="7" xfId="0" applyBorder="1"/>
    <xf numFmtId="0" fontId="0" fillId="0" borderId="8" xfId="0" applyBorder="1"/>
    <xf numFmtId="0" fontId="3" fillId="0" borderId="9" xfId="3" applyBorder="1"/>
    <xf numFmtId="0" fontId="0" fillId="0" borderId="0" xfId="0" applyBorder="1"/>
    <xf numFmtId="0" fontId="0" fillId="4" borderId="0" xfId="0" applyFill="1" applyBorder="1"/>
    <xf numFmtId="0" fontId="0" fillId="0" borderId="10" xfId="0" applyBorder="1"/>
    <xf numFmtId="0" fontId="0" fillId="4" borderId="10" xfId="0" applyFill="1" applyBorder="1"/>
    <xf numFmtId="0" fontId="8" fillId="0" borderId="0" xfId="9" applyBorder="1"/>
    <xf numFmtId="0" fontId="8" fillId="0" borderId="10" xfId="9" applyBorder="1"/>
    <xf numFmtId="0" fontId="7" fillId="0" borderId="5" xfId="7" applyBorder="1"/>
    <xf numFmtId="0" fontId="7" fillId="0" borderId="11" xfId="7" applyBorder="1"/>
    <xf numFmtId="0" fontId="4" fillId="2" borderId="3" xfId="4" applyBorder="1"/>
    <xf numFmtId="0" fontId="4" fillId="2" borderId="12" xfId="4" applyBorder="1"/>
    <xf numFmtId="0" fontId="6" fillId="3" borderId="12" xfId="6" applyBorder="1"/>
    <xf numFmtId="0" fontId="3" fillId="0" borderId="13" xfId="2" applyBorder="1"/>
    <xf numFmtId="0" fontId="0" fillId="0" borderId="14" xfId="0" applyBorder="1"/>
    <xf numFmtId="0" fontId="0" fillId="0" borderId="16" xfId="0" applyBorder="1"/>
    <xf numFmtId="0" fontId="3" fillId="0" borderId="7" xfId="3" applyBorder="1"/>
    <xf numFmtId="0" fontId="3" fillId="0" borderId="8" xfId="3" applyBorder="1"/>
    <xf numFmtId="0" fontId="3" fillId="0" borderId="17" xfId="2" applyBorder="1"/>
    <xf numFmtId="11" fontId="5" fillId="3" borderId="4" xfId="5" applyNumberFormat="1" applyBorder="1"/>
    <xf numFmtId="11" fontId="5" fillId="3" borderId="18" xfId="5" applyNumberFormat="1" applyBorder="1"/>
    <xf numFmtId="11" fontId="4" fillId="2" borderId="12" xfId="4" applyNumberFormat="1" applyBorder="1"/>
    <xf numFmtId="11" fontId="6" fillId="3" borderId="3" xfId="6" applyNumberFormat="1" applyBorder="1"/>
    <xf numFmtId="11" fontId="6" fillId="3" borderId="12" xfId="6" applyNumberFormat="1" applyBorder="1"/>
    <xf numFmtId="0" fontId="3" fillId="0" borderId="13" xfId="3" applyBorder="1"/>
    <xf numFmtId="11" fontId="6" fillId="3" borderId="19" xfId="6" applyNumberFormat="1" applyBorder="1"/>
    <xf numFmtId="11" fontId="6" fillId="3" borderId="20" xfId="6" applyNumberFormat="1" applyBorder="1"/>
    <xf numFmtId="164" fontId="6" fillId="3" borderId="12" xfId="6" applyNumberFormat="1" applyBorder="1"/>
    <xf numFmtId="0" fontId="6" fillId="3" borderId="20" xfId="6" applyBorder="1"/>
    <xf numFmtId="2" fontId="4" fillId="2" borderId="3" xfId="4" applyNumberFormat="1" applyBorder="1"/>
    <xf numFmtId="0" fontId="3" fillId="0" borderId="0" xfId="3" applyBorder="1"/>
    <xf numFmtId="2" fontId="6" fillId="3" borderId="3" xfId="6" applyNumberFormat="1" applyBorder="1"/>
    <xf numFmtId="2" fontId="6" fillId="3" borderId="19" xfId="6" applyNumberFormat="1" applyBorder="1"/>
    <xf numFmtId="0" fontId="3" fillId="0" borderId="21" xfId="3" applyBorder="1"/>
    <xf numFmtId="11" fontId="6" fillId="3" borderId="22" xfId="6" applyNumberFormat="1" applyBorder="1"/>
    <xf numFmtId="11" fontId="6" fillId="3" borderId="23" xfId="6" applyNumberFormat="1" applyBorder="1"/>
    <xf numFmtId="0" fontId="0" fillId="0" borderId="9" xfId="0" applyBorder="1"/>
    <xf numFmtId="0" fontId="0" fillId="0" borderId="13" xfId="0" applyBorder="1"/>
    <xf numFmtId="0" fontId="3" fillId="0" borderId="14" xfId="3" applyBorder="1"/>
    <xf numFmtId="11" fontId="5" fillId="3" borderId="15" xfId="5" applyNumberFormat="1" applyBorder="1"/>
    <xf numFmtId="0" fontId="7" fillId="3" borderId="5" xfId="7" applyFill="1"/>
    <xf numFmtId="0" fontId="0" fillId="0" borderId="0" xfId="0" applyFill="1" applyBorder="1"/>
    <xf numFmtId="0" fontId="3" fillId="0" borderId="9" xfId="3" applyFill="1" applyBorder="1"/>
    <xf numFmtId="0" fontId="0" fillId="0" borderId="7" xfId="0" applyBorder="1" applyAlignment="1">
      <alignment horizontal="right"/>
    </xf>
    <xf numFmtId="0" fontId="2" fillId="0" borderId="9" xfId="1" applyBorder="1"/>
    <xf numFmtId="0" fontId="3" fillId="0" borderId="24" xfId="3" applyBorder="1"/>
    <xf numFmtId="0" fontId="9" fillId="5" borderId="0" xfId="3" applyFont="1" applyFill="1" applyBorder="1"/>
    <xf numFmtId="0" fontId="0" fillId="5" borderId="0" xfId="0" applyFill="1"/>
    <xf numFmtId="0" fontId="4" fillId="2" borderId="25" xfId="4" applyBorder="1"/>
    <xf numFmtId="0" fontId="5" fillId="3" borderId="14" xfId="5" applyBorder="1"/>
    <xf numFmtId="165" fontId="6" fillId="3" borderId="3" xfId="6" applyNumberFormat="1"/>
    <xf numFmtId="2" fontId="10" fillId="3" borderId="4" xfId="5" applyNumberFormat="1" applyFont="1"/>
    <xf numFmtId="2" fontId="6" fillId="3" borderId="3" xfId="6" applyNumberFormat="1"/>
    <xf numFmtId="164" fontId="6" fillId="3" borderId="3" xfId="6" applyNumberFormat="1"/>
    <xf numFmtId="1" fontId="5" fillId="3" borderId="4" xfId="5" applyNumberFormat="1"/>
    <xf numFmtId="1" fontId="6" fillId="3" borderId="3" xfId="6" applyNumberFormat="1" applyBorder="1"/>
    <xf numFmtId="1" fontId="6" fillId="3" borderId="12" xfId="6" applyNumberFormat="1" applyBorder="1"/>
    <xf numFmtId="1" fontId="4" fillId="2" borderId="3" xfId="4" applyNumberFormat="1"/>
    <xf numFmtId="2" fontId="4" fillId="2" borderId="3" xfId="4" applyNumberForma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2" fillId="0" borderId="0" xfId="0" applyFont="1"/>
    <xf numFmtId="2" fontId="0" fillId="0" borderId="0" xfId="0" applyNumberFormat="1" applyBorder="1"/>
    <xf numFmtId="0" fontId="0" fillId="0" borderId="34" xfId="0" applyBorder="1"/>
    <xf numFmtId="0" fontId="0" fillId="0" borderId="35" xfId="0" applyBorder="1"/>
    <xf numFmtId="0" fontId="11" fillId="0" borderId="29" xfId="0" applyFont="1" applyBorder="1"/>
    <xf numFmtId="0" fontId="11" fillId="0" borderId="21" xfId="0" applyFont="1" applyBorder="1"/>
    <xf numFmtId="0" fontId="11" fillId="0" borderId="36" xfId="0" applyFon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33" xfId="0" applyBorder="1"/>
    <xf numFmtId="11" fontId="0" fillId="0" borderId="0" xfId="0" applyNumberFormat="1"/>
    <xf numFmtId="0" fontId="0" fillId="0" borderId="42" xfId="0" applyBorder="1"/>
    <xf numFmtId="11" fontId="6" fillId="3" borderId="3" xfId="6" applyNumberFormat="1"/>
    <xf numFmtId="11" fontId="0" fillId="0" borderId="27" xfId="0" applyNumberFormat="1" applyBorder="1"/>
    <xf numFmtId="0" fontId="0" fillId="0" borderId="0" xfId="0" applyAlignment="1"/>
    <xf numFmtId="0" fontId="14" fillId="0" borderId="39" xfId="0" applyFont="1" applyBorder="1"/>
    <xf numFmtId="0" fontId="13" fillId="0" borderId="39" xfId="0" applyFont="1" applyBorder="1"/>
    <xf numFmtId="0" fontId="14" fillId="0" borderId="35" xfId="0" applyFont="1" applyBorder="1"/>
    <xf numFmtId="0" fontId="14" fillId="0" borderId="34" xfId="0" applyFont="1" applyBorder="1"/>
    <xf numFmtId="11" fontId="4" fillId="2" borderId="25" xfId="4" applyNumberFormat="1" applyBorder="1"/>
    <xf numFmtId="11" fontId="6" fillId="3" borderId="25" xfId="6" applyNumberFormat="1" applyBorder="1"/>
    <xf numFmtId="2" fontId="5" fillId="3" borderId="15" xfId="5" applyNumberFormat="1" applyBorder="1"/>
    <xf numFmtId="0" fontId="14" fillId="0" borderId="40" xfId="0" applyFont="1" applyBorder="1"/>
    <xf numFmtId="165" fontId="0" fillId="0" borderId="0" xfId="0" applyNumberFormat="1"/>
    <xf numFmtId="0" fontId="15" fillId="0" borderId="0" xfId="3" applyFont="1"/>
    <xf numFmtId="164" fontId="5" fillId="3" borderId="15" xfId="5" applyNumberFormat="1" applyBorder="1"/>
    <xf numFmtId="0" fontId="0" fillId="0" borderId="10" xfId="0" applyFill="1" applyBorder="1"/>
    <xf numFmtId="0" fontId="3" fillId="0" borderId="9" xfId="3" applyFont="1" applyFill="1" applyBorder="1"/>
    <xf numFmtId="2" fontId="16" fillId="0" borderId="0" xfId="0" applyNumberFormat="1" applyFont="1" applyFill="1" applyBorder="1"/>
    <xf numFmtId="164" fontId="16" fillId="0" borderId="0" xfId="0" applyNumberFormat="1" applyFont="1" applyFill="1" applyBorder="1"/>
    <xf numFmtId="164" fontId="16" fillId="0" borderId="28" xfId="0" applyNumberFormat="1" applyFont="1" applyFill="1" applyBorder="1"/>
    <xf numFmtId="164" fontId="16" fillId="0" borderId="42" xfId="0" applyNumberFormat="1" applyFont="1" applyFill="1" applyBorder="1"/>
    <xf numFmtId="164" fontId="16" fillId="0" borderId="40" xfId="0" applyNumberFormat="1" applyFont="1" applyFill="1" applyBorder="1"/>
    <xf numFmtId="0" fontId="0" fillId="4" borderId="28" xfId="0" applyFill="1" applyBorder="1"/>
    <xf numFmtId="0" fontId="0" fillId="0" borderId="28" xfId="0" applyFill="1" applyBorder="1"/>
    <xf numFmtId="0" fontId="8" fillId="0" borderId="28" xfId="9" applyBorder="1"/>
    <xf numFmtId="0" fontId="7" fillId="0" borderId="43" xfId="7" applyBorder="1"/>
    <xf numFmtId="0" fontId="0" fillId="0" borderId="44" xfId="0" applyBorder="1"/>
    <xf numFmtId="0" fontId="0" fillId="0" borderId="45" xfId="0" applyBorder="1"/>
    <xf numFmtId="2" fontId="6" fillId="3" borderId="46" xfId="6" applyNumberFormat="1" applyBorder="1"/>
    <xf numFmtId="0" fontId="16" fillId="0" borderId="33" xfId="0" applyFont="1" applyBorder="1"/>
    <xf numFmtId="2" fontId="16" fillId="0" borderId="33" xfId="0" applyNumberFormat="1" applyFont="1" applyBorder="1"/>
    <xf numFmtId="2" fontId="16" fillId="6" borderId="47" xfId="4" applyNumberFormat="1" applyFont="1" applyFill="1" applyBorder="1"/>
    <xf numFmtId="11" fontId="0" fillId="0" borderId="28" xfId="0" applyNumberFormat="1" applyBorder="1"/>
    <xf numFmtId="0" fontId="0" fillId="0" borderId="0" xfId="0" quotePrefix="1"/>
    <xf numFmtId="0" fontId="7" fillId="3" borderId="48" xfId="7" applyFill="1" applyBorder="1"/>
    <xf numFmtId="0" fontId="7" fillId="3" borderId="49" xfId="7" applyFill="1" applyBorder="1"/>
    <xf numFmtId="11" fontId="7" fillId="3" borderId="49" xfId="7" applyNumberFormat="1" applyFill="1" applyBorder="1"/>
    <xf numFmtId="11" fontId="7" fillId="3" borderId="31" xfId="7" applyNumberFormat="1" applyFill="1" applyBorder="1"/>
    <xf numFmtId="2" fontId="4" fillId="2" borderId="12" xfId="4" applyNumberFormat="1" applyBorder="1"/>
    <xf numFmtId="2" fontId="6" fillId="3" borderId="12" xfId="6" applyNumberFormat="1" applyBorder="1"/>
    <xf numFmtId="2" fontId="4" fillId="7" borderId="3" xfId="4" applyNumberFormat="1" applyFill="1" applyBorder="1"/>
    <xf numFmtId="11" fontId="0" fillId="0" borderId="40" xfId="0" applyNumberFormat="1" applyBorder="1"/>
    <xf numFmtId="0" fontId="3" fillId="0" borderId="35" xfId="3" applyBorder="1"/>
    <xf numFmtId="0" fontId="3" fillId="0" borderId="34" xfId="3" applyBorder="1"/>
    <xf numFmtId="2" fontId="0" fillId="0" borderId="0" xfId="0" applyNumberFormat="1"/>
    <xf numFmtId="0" fontId="16" fillId="0" borderId="33" xfId="4" applyFont="1" applyFill="1" applyBorder="1"/>
    <xf numFmtId="11" fontId="16" fillId="0" borderId="33" xfId="4" applyNumberFormat="1" applyFont="1" applyFill="1" applyBorder="1"/>
    <xf numFmtId="2" fontId="6" fillId="3" borderId="33" xfId="6" applyNumberFormat="1" applyBorder="1"/>
    <xf numFmtId="0" fontId="17" fillId="0" borderId="33" xfId="0" applyFont="1" applyBorder="1"/>
    <xf numFmtId="0" fontId="18" fillId="0" borderId="33" xfId="0" applyFont="1" applyBorder="1"/>
    <xf numFmtId="2" fontId="16" fillId="0" borderId="33" xfId="4" applyNumberFormat="1" applyFont="1" applyFill="1" applyBorder="1"/>
    <xf numFmtId="0" fontId="18" fillId="0" borderId="41" xfId="0" applyFont="1" applyBorder="1"/>
    <xf numFmtId="0" fontId="0" fillId="0" borderId="0" xfId="0" applyFill="1"/>
    <xf numFmtId="0" fontId="7" fillId="0" borderId="5" xfId="7"/>
    <xf numFmtId="0" fontId="19" fillId="0" borderId="50" xfId="10"/>
    <xf numFmtId="0" fontId="14" fillId="0" borderId="0" xfId="0" applyFont="1" applyBorder="1"/>
    <xf numFmtId="0" fontId="14" fillId="0" borderId="37" xfId="0" applyFont="1" applyBorder="1"/>
    <xf numFmtId="0" fontId="4" fillId="2" borderId="51" xfId="4" applyBorder="1"/>
    <xf numFmtId="0" fontId="14" fillId="0" borderId="37" xfId="0" applyFont="1" applyFill="1" applyBorder="1"/>
    <xf numFmtId="0" fontId="14" fillId="0" borderId="52" xfId="0" applyFont="1" applyBorder="1"/>
    <xf numFmtId="0" fontId="4" fillId="2" borderId="53" xfId="4" applyBorder="1"/>
    <xf numFmtId="0" fontId="6" fillId="3" borderId="3" xfId="6" applyBorder="1"/>
    <xf numFmtId="0" fontId="4" fillId="2" borderId="3" xfId="4" applyBorder="1" applyAlignment="1">
      <alignment horizontal="center"/>
    </xf>
    <xf numFmtId="0" fontId="14" fillId="0" borderId="54" xfId="0" applyFont="1" applyBorder="1"/>
    <xf numFmtId="0" fontId="6" fillId="3" borderId="19" xfId="6" applyBorder="1"/>
    <xf numFmtId="0" fontId="14" fillId="0" borderId="9" xfId="0" applyFont="1" applyBorder="1"/>
    <xf numFmtId="0" fontId="4" fillId="2" borderId="12" xfId="4" applyBorder="1" applyAlignment="1">
      <alignment horizontal="center"/>
    </xf>
    <xf numFmtId="0" fontId="14" fillId="0" borderId="13" xfId="0" applyFont="1" applyBorder="1"/>
    <xf numFmtId="0" fontId="2" fillId="0" borderId="1" xfId="1"/>
    <xf numFmtId="0" fontId="3" fillId="0" borderId="2" xfId="2"/>
    <xf numFmtId="164" fontId="4" fillId="2" borderId="3" xfId="4" applyNumberFormat="1"/>
    <xf numFmtId="164" fontId="7" fillId="0" borderId="5" xfId="7" applyNumberFormat="1" applyFill="1"/>
    <xf numFmtId="2" fontId="7" fillId="0" borderId="5" xfId="7" applyNumberFormat="1" applyFill="1"/>
    <xf numFmtId="0" fontId="8" fillId="0" borderId="0" xfId="9"/>
    <xf numFmtId="0" fontId="6" fillId="3" borderId="51" xfId="6" applyBorder="1"/>
    <xf numFmtId="2" fontId="7" fillId="0" borderId="5" xfId="7" applyNumberForma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66" fontId="6" fillId="3" borderId="3" xfId="6" applyNumberFormat="1"/>
    <xf numFmtId="166" fontId="20" fillId="8" borderId="55" xfId="11" applyNumberFormat="1"/>
    <xf numFmtId="166" fontId="4" fillId="2" borderId="3" xfId="4" applyNumberFormat="1"/>
    <xf numFmtId="0" fontId="21" fillId="9" borderId="0" xfId="12"/>
    <xf numFmtId="0" fontId="22" fillId="9" borderId="0" xfId="12" applyFont="1"/>
    <xf numFmtId="0" fontId="24" fillId="0" borderId="0" xfId="0" applyFont="1"/>
    <xf numFmtId="164" fontId="5" fillId="3" borderId="14" xfId="5" applyNumberFormat="1" applyBorder="1"/>
    <xf numFmtId="11" fontId="23" fillId="10" borderId="12" xfId="4" applyNumberFormat="1" applyFont="1" applyFill="1" applyBorder="1"/>
    <xf numFmtId="0" fontId="26" fillId="0" borderId="0" xfId="11" applyFont="1" applyFill="1" applyBorder="1"/>
    <xf numFmtId="0" fontId="4" fillId="2" borderId="33" xfId="4" applyBorder="1"/>
    <xf numFmtId="0" fontId="0" fillId="0" borderId="0" xfId="0" applyFont="1" applyFill="1"/>
    <xf numFmtId="0" fontId="27" fillId="0" borderId="0" xfId="11" applyFont="1" applyFill="1" applyBorder="1"/>
    <xf numFmtId="0" fontId="16" fillId="11" borderId="33" xfId="11" applyFont="1" applyFill="1" applyBorder="1"/>
    <xf numFmtId="1" fontId="5" fillId="3" borderId="4" xfId="5" applyNumberFormat="1" applyFont="1"/>
    <xf numFmtId="0" fontId="0" fillId="10" borderId="33" xfId="0" applyFill="1" applyBorder="1"/>
    <xf numFmtId="0" fontId="16" fillId="12" borderId="33" xfId="0" applyFont="1" applyFill="1" applyBorder="1"/>
    <xf numFmtId="0" fontId="16" fillId="12" borderId="33" xfId="11" applyFont="1" applyFill="1" applyBorder="1"/>
    <xf numFmtId="0" fontId="23" fillId="10" borderId="33" xfId="0" applyFont="1" applyFill="1" applyBorder="1"/>
    <xf numFmtId="0" fontId="16" fillId="12" borderId="56" xfId="0" applyFont="1" applyFill="1" applyBorder="1"/>
    <xf numFmtId="0" fontId="16" fillId="11" borderId="33" xfId="0" applyFont="1" applyFill="1" applyBorder="1"/>
    <xf numFmtId="0" fontId="29" fillId="0" borderId="0" xfId="0" applyFont="1"/>
    <xf numFmtId="0" fontId="13" fillId="0" borderId="0" xfId="0" applyFont="1"/>
    <xf numFmtId="0" fontId="30" fillId="0" borderId="0" xfId="0" applyFont="1"/>
    <xf numFmtId="0" fontId="14" fillId="0" borderId="31" xfId="0" applyFont="1" applyBorder="1"/>
    <xf numFmtId="11" fontId="16" fillId="11" borderId="56" xfId="0" applyNumberFormat="1" applyFont="1" applyFill="1" applyBorder="1"/>
    <xf numFmtId="11" fontId="16" fillId="11" borderId="33" xfId="0" applyNumberFormat="1" applyFont="1" applyFill="1" applyBorder="1"/>
    <xf numFmtId="11" fontId="16" fillId="11" borderId="27" xfId="0" applyNumberFormat="1" applyFont="1" applyFill="1" applyBorder="1"/>
    <xf numFmtId="11" fontId="23" fillId="0" borderId="3" xfId="4" applyNumberFormat="1" applyFont="1" applyFill="1"/>
    <xf numFmtId="0" fontId="25" fillId="0" borderId="0" xfId="0" applyFont="1" applyFill="1"/>
    <xf numFmtId="0" fontId="4" fillId="2" borderId="57" xfId="4" applyBorder="1"/>
    <xf numFmtId="0" fontId="6" fillId="3" borderId="58" xfId="6" applyBorder="1"/>
    <xf numFmtId="0" fontId="6" fillId="3" borderId="59" xfId="6" applyBorder="1"/>
    <xf numFmtId="0" fontId="23" fillId="10" borderId="33" xfId="11" applyFont="1" applyFill="1" applyBorder="1"/>
    <xf numFmtId="0" fontId="6" fillId="3" borderId="60" xfId="6" applyBorder="1"/>
    <xf numFmtId="0" fontId="6" fillId="3" borderId="61" xfId="6" applyBorder="1"/>
    <xf numFmtId="0" fontId="3" fillId="0" borderId="0" xfId="2" applyBorder="1"/>
    <xf numFmtId="11" fontId="4" fillId="2" borderId="58" xfId="4" applyNumberFormat="1" applyBorder="1"/>
    <xf numFmtId="11" fontId="4" fillId="2" borderId="62" xfId="4" applyNumberFormat="1" applyBorder="1"/>
    <xf numFmtId="0" fontId="6" fillId="3" borderId="57" xfId="6" applyBorder="1"/>
    <xf numFmtId="0" fontId="6" fillId="3" borderId="62" xfId="6" applyBorder="1"/>
    <xf numFmtId="0" fontId="31" fillId="0" borderId="0" xfId="0" applyFont="1"/>
    <xf numFmtId="0" fontId="31" fillId="0" borderId="26" xfId="0" applyFont="1" applyBorder="1"/>
    <xf numFmtId="11" fontId="4" fillId="2" borderId="3" xfId="4" quotePrefix="1" applyNumberFormat="1" applyBorder="1"/>
    <xf numFmtId="1" fontId="4" fillId="2" borderId="3" xfId="4" applyNumberFormat="1" applyBorder="1"/>
    <xf numFmtId="0" fontId="14" fillId="0" borderId="0" xfId="0" applyFont="1"/>
    <xf numFmtId="0" fontId="0" fillId="0" borderId="0" xfId="0" applyFont="1"/>
    <xf numFmtId="0" fontId="28" fillId="0" borderId="0" xfId="0" applyFont="1" applyFill="1" applyBorder="1"/>
    <xf numFmtId="0" fontId="23" fillId="0" borderId="0" xfId="0" applyFont="1" applyFill="1" applyBorder="1"/>
    <xf numFmtId="0" fontId="6" fillId="3" borderId="33" xfId="6" applyBorder="1"/>
    <xf numFmtId="0" fontId="4" fillId="2" borderId="58" xfId="4" applyBorder="1"/>
    <xf numFmtId="0" fontId="4" fillId="2" borderId="62" xfId="4" applyBorder="1"/>
    <xf numFmtId="0" fontId="21" fillId="0" borderId="0" xfId="12" applyFill="1"/>
    <xf numFmtId="2" fontId="21" fillId="0" borderId="0" xfId="12" applyNumberFormat="1" applyFill="1"/>
    <xf numFmtId="0" fontId="22" fillId="0" borderId="0" xfId="12" applyFont="1" applyFill="1"/>
    <xf numFmtId="0" fontId="7" fillId="0" borderId="5" xfId="7" applyBorder="1" applyAlignment="1">
      <alignment horizontal="center"/>
    </xf>
    <xf numFmtId="0" fontId="7" fillId="0" borderId="11" xfId="7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6" fillId="3" borderId="3" xfId="6" applyAlignment="1">
      <alignment horizontal="center" vertical="center"/>
    </xf>
    <xf numFmtId="167" fontId="6" fillId="3" borderId="3" xfId="6" applyNumberFormat="1" applyAlignment="1">
      <alignment horizontal="center" vertical="center"/>
    </xf>
    <xf numFmtId="0" fontId="7" fillId="0" borderId="5" xfId="7" applyAlignment="1">
      <alignment horizontal="center" vertical="center"/>
    </xf>
    <xf numFmtId="165" fontId="6" fillId="3" borderId="3" xfId="6" applyNumberFormat="1" applyAlignment="1">
      <alignment horizontal="center" vertical="center"/>
    </xf>
    <xf numFmtId="0" fontId="13" fillId="0" borderId="37" xfId="0" applyFont="1" applyFill="1" applyBorder="1" applyAlignment="1">
      <alignment horizontal="center"/>
    </xf>
    <xf numFmtId="0" fontId="7" fillId="0" borderId="5" xfId="7" applyFill="1" applyBorder="1" applyAlignment="1">
      <alignment horizontal="center"/>
    </xf>
    <xf numFmtId="0" fontId="7" fillId="0" borderId="11" xfId="7" applyFill="1" applyBorder="1" applyAlignment="1">
      <alignment horizontal="center"/>
    </xf>
  </cellXfs>
  <cellStyles count="13">
    <cellStyle name="Calculation" xfId="6" builtinId="22"/>
    <cellStyle name="Check Cell" xfId="11" builtinId="23"/>
    <cellStyle name="Explanatory Text" xfId="9" builtinId="53"/>
    <cellStyle name="Heading 1" xfId="10" builtinId="16"/>
    <cellStyle name="Heading 2" xfId="1" builtinId="17"/>
    <cellStyle name="Heading 3" xfId="2" builtinId="18"/>
    <cellStyle name="Heading 4" xfId="3" builtinId="19"/>
    <cellStyle name="Input" xfId="4" builtinId="20"/>
    <cellStyle name="Linked Cell" xfId="7" builtinId="24"/>
    <cellStyle name="Neutral" xfId="12" builtinId="28"/>
    <cellStyle name="Normal" xfId="0" builtinId="0"/>
    <cellStyle name="Output" xfId="5" builtinId="21"/>
    <cellStyle name="Warning Text" xfId="8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8"/>
  <sheetViews>
    <sheetView tabSelected="1" workbookViewId="0">
      <selection activeCell="C35" sqref="C35"/>
    </sheetView>
  </sheetViews>
  <sheetFormatPr defaultRowHeight="15" x14ac:dyDescent="0.25"/>
  <cols>
    <col min="1" max="1" width="24.28515625" customWidth="1"/>
    <col min="2" max="2" width="11.140625" bestFit="1" customWidth="1"/>
    <col min="3" max="3" width="14.85546875" customWidth="1"/>
    <col min="4" max="4" width="36.7109375" customWidth="1"/>
    <col min="5" max="5" width="11.140625" bestFit="1" customWidth="1"/>
    <col min="6" max="6" width="11.85546875" bestFit="1" customWidth="1"/>
    <col min="7" max="7" width="13.85546875" bestFit="1" customWidth="1"/>
    <col min="8" max="8" width="15.140625" customWidth="1"/>
    <col min="9" max="9" width="12.140625" bestFit="1" customWidth="1"/>
    <col min="10" max="10" width="13.85546875" bestFit="1" customWidth="1"/>
    <col min="11" max="11" width="9.42578125" bestFit="1" customWidth="1"/>
    <col min="12" max="12" width="11.85546875" bestFit="1" customWidth="1"/>
    <col min="13" max="13" width="15.85546875" customWidth="1"/>
    <col min="14" max="14" width="13.5703125" bestFit="1" customWidth="1"/>
    <col min="15" max="15" width="12.42578125" bestFit="1" customWidth="1"/>
    <col min="16" max="16" width="20.85546875" customWidth="1"/>
  </cols>
  <sheetData>
    <row r="1" spans="1:20" ht="19.5" x14ac:dyDescent="0.3">
      <c r="A1" s="144" t="s">
        <v>0</v>
      </c>
      <c r="H1" t="s">
        <v>2</v>
      </c>
      <c r="I1" s="85" t="s">
        <v>3</v>
      </c>
      <c r="J1" s="84" t="s">
        <v>4</v>
      </c>
      <c r="K1" s="71" t="s">
        <v>5</v>
      </c>
      <c r="L1" s="70" t="s">
        <v>6</v>
      </c>
      <c r="M1" s="70" t="s">
        <v>7</v>
      </c>
      <c r="N1" s="71" t="s">
        <v>8</v>
      </c>
      <c r="O1" s="74"/>
    </row>
    <row r="2" spans="1:20" x14ac:dyDescent="0.25">
      <c r="I2" t="s">
        <v>11</v>
      </c>
      <c r="J2">
        <f>I16/2+H16+F16/2</f>
        <v>95</v>
      </c>
      <c r="K2" t="s">
        <v>12</v>
      </c>
      <c r="L2" s="134">
        <v>0</v>
      </c>
      <c r="M2" s="134">
        <v>0</v>
      </c>
      <c r="N2" s="134">
        <f>B3/(B4/2)*1000</f>
        <v>10886.000000000002</v>
      </c>
    </row>
    <row r="3" spans="1:20" x14ac:dyDescent="0.25">
      <c r="A3" s="7" t="s">
        <v>9</v>
      </c>
      <c r="B3" s="3">
        <v>1632.9</v>
      </c>
      <c r="D3" s="7" t="s">
        <v>10</v>
      </c>
      <c r="E3" s="3">
        <f>6*gravity</f>
        <v>58.86</v>
      </c>
      <c r="I3" t="s">
        <v>15</v>
      </c>
      <c r="J3">
        <f>I16+H16+F16</f>
        <v>135</v>
      </c>
      <c r="K3" t="s">
        <v>16</v>
      </c>
      <c r="L3" s="134">
        <f>N2*TAN(RADIANS(B11))</f>
        <v>2916.8949088052022</v>
      </c>
      <c r="M3" s="134">
        <v>0</v>
      </c>
      <c r="N3" s="134">
        <v>0</v>
      </c>
    </row>
    <row r="4" spans="1:20" x14ac:dyDescent="0.25">
      <c r="A4" s="7" t="s">
        <v>13</v>
      </c>
      <c r="B4" s="3">
        <v>300</v>
      </c>
      <c r="D4" s="7" t="s">
        <v>14</v>
      </c>
      <c r="E4" s="61">
        <f>Gear_density*(PI()*((B4/1000/2)^2-(F16/1000/2)^2))*F17/1000*gravity</f>
        <v>135.15170771600029</v>
      </c>
      <c r="I4" t="s">
        <v>18</v>
      </c>
      <c r="J4">
        <v>0</v>
      </c>
      <c r="K4" t="s">
        <v>19</v>
      </c>
      <c r="L4" s="134">
        <v>0</v>
      </c>
      <c r="M4" s="134">
        <f>N2*TAN(RADIANS(B12))</f>
        <v>2916.8949088052022</v>
      </c>
      <c r="N4" s="134">
        <v>0</v>
      </c>
    </row>
    <row r="5" spans="1:20" x14ac:dyDescent="0.25">
      <c r="A5" s="7" t="s">
        <v>17</v>
      </c>
      <c r="B5" s="3">
        <v>37.799999999999997</v>
      </c>
      <c r="C5" s="7"/>
      <c r="K5" t="s">
        <v>21</v>
      </c>
      <c r="L5" s="134">
        <v>0</v>
      </c>
      <c r="M5" s="134">
        <v>0</v>
      </c>
      <c r="N5" s="134">
        <v>0</v>
      </c>
    </row>
    <row r="6" spans="1:20" x14ac:dyDescent="0.25">
      <c r="A6" s="7" t="s">
        <v>20</v>
      </c>
      <c r="B6" s="3">
        <v>12.7</v>
      </c>
      <c r="C6" s="7"/>
      <c r="K6" t="s">
        <v>23</v>
      </c>
      <c r="L6" s="134">
        <v>0</v>
      </c>
      <c r="M6" s="134">
        <f>(M4*J2+L3*B4/2)/J3</f>
        <v>5293.6240937575894</v>
      </c>
      <c r="N6" s="134">
        <f>((N2-E4)*J2-N5*J4)/J3</f>
        <v>7565.41176123689</v>
      </c>
      <c r="T6">
        <f>B3/(E16/2)/(0.0254*0.006)/10^6</f>
        <v>0.61226096737907765</v>
      </c>
    </row>
    <row r="7" spans="1:20" x14ac:dyDescent="0.25">
      <c r="A7" s="7" t="s">
        <v>22</v>
      </c>
      <c r="B7" s="3">
        <v>10</v>
      </c>
      <c r="K7" t="s">
        <v>26</v>
      </c>
      <c r="L7" s="134">
        <v>0</v>
      </c>
      <c r="M7" s="134">
        <f>M4-M6</f>
        <v>-2376.7291849523872</v>
      </c>
      <c r="N7" s="134">
        <f>N2-N5-E4-N6</f>
        <v>3185.4365310471112</v>
      </c>
    </row>
    <row r="8" spans="1:20" ht="17.25" x14ac:dyDescent="0.3">
      <c r="A8" s="8" t="s">
        <v>24</v>
      </c>
      <c r="B8" s="3">
        <v>7850</v>
      </c>
      <c r="D8" s="9" t="s">
        <v>25</v>
      </c>
      <c r="E8" s="10"/>
      <c r="F8" s="10"/>
      <c r="G8" s="10"/>
      <c r="H8" s="10"/>
      <c r="I8" s="10"/>
      <c r="J8" s="11"/>
    </row>
    <row r="9" spans="1:20" x14ac:dyDescent="0.25">
      <c r="A9" s="7" t="s">
        <v>27</v>
      </c>
      <c r="B9" s="3">
        <v>7850</v>
      </c>
      <c r="D9" s="12" t="s">
        <v>28</v>
      </c>
      <c r="E9" s="13">
        <v>1</v>
      </c>
      <c r="F9" s="13">
        <v>2</v>
      </c>
      <c r="G9" s="13"/>
      <c r="H9" s="52">
        <v>3</v>
      </c>
      <c r="I9" s="52">
        <v>4</v>
      </c>
      <c r="J9" s="15">
        <v>5</v>
      </c>
      <c r="K9" s="219"/>
      <c r="L9" s="219"/>
      <c r="M9" s="219"/>
      <c r="N9" s="219"/>
      <c r="O9" s="219"/>
      <c r="P9" s="219"/>
    </row>
    <row r="10" spans="1:20" ht="17.25" x14ac:dyDescent="0.3">
      <c r="A10" s="7" t="s">
        <v>29</v>
      </c>
      <c r="B10" s="3">
        <v>9.81</v>
      </c>
      <c r="D10" s="55"/>
      <c r="E10" s="13"/>
      <c r="F10" s="13" t="s">
        <v>30</v>
      </c>
      <c r="G10" s="13"/>
      <c r="H10" s="14"/>
      <c r="I10" s="13"/>
      <c r="J10" s="15"/>
      <c r="K10" s="219"/>
      <c r="L10" s="219"/>
      <c r="M10" s="219"/>
      <c r="N10" s="219"/>
      <c r="O10" s="219"/>
      <c r="P10" s="219"/>
    </row>
    <row r="11" spans="1:20" x14ac:dyDescent="0.25">
      <c r="A11" s="7" t="s">
        <v>31</v>
      </c>
      <c r="B11" s="3">
        <v>15</v>
      </c>
      <c r="D11" s="12"/>
      <c r="E11" s="13" t="s">
        <v>32</v>
      </c>
      <c r="F11" s="14"/>
      <c r="G11" s="14"/>
      <c r="H11" s="14"/>
      <c r="I11" s="13" t="s">
        <v>32</v>
      </c>
      <c r="J11" s="15" t="s">
        <v>33</v>
      </c>
      <c r="K11" s="219"/>
      <c r="L11" s="219"/>
      <c r="M11" s="219"/>
      <c r="N11" s="219"/>
      <c r="O11" s="219"/>
      <c r="P11" s="219"/>
    </row>
    <row r="12" spans="1:20" x14ac:dyDescent="0.25">
      <c r="A12" s="7" t="s">
        <v>34</v>
      </c>
      <c r="B12" s="3">
        <v>15</v>
      </c>
      <c r="D12" s="12" t="s">
        <v>35</v>
      </c>
      <c r="E12" s="14"/>
      <c r="F12" s="14"/>
      <c r="G12" s="14"/>
      <c r="H12" s="14"/>
      <c r="I12" s="14"/>
      <c r="J12" s="16"/>
      <c r="K12" s="219"/>
      <c r="L12" s="219"/>
      <c r="M12" s="219"/>
      <c r="N12" s="219"/>
      <c r="O12" s="219"/>
      <c r="P12" s="219"/>
    </row>
    <row r="13" spans="1:20" x14ac:dyDescent="0.25">
      <c r="A13" s="7" t="s">
        <v>36</v>
      </c>
      <c r="B13" s="5">
        <v>1772000000</v>
      </c>
      <c r="D13" s="12"/>
      <c r="E13" s="52"/>
      <c r="F13" s="14"/>
      <c r="G13" s="14"/>
      <c r="H13" s="14"/>
      <c r="I13" s="52"/>
      <c r="J13" s="105"/>
      <c r="K13" s="219"/>
      <c r="L13" s="219"/>
      <c r="M13" s="219"/>
      <c r="N13" s="219"/>
      <c r="O13" s="219"/>
      <c r="P13" s="219"/>
    </row>
    <row r="14" spans="1:20" x14ac:dyDescent="0.25">
      <c r="A14" s="7" t="s">
        <v>37</v>
      </c>
      <c r="B14" s="5">
        <v>1641000000</v>
      </c>
      <c r="D14" s="12"/>
      <c r="E14" s="13"/>
      <c r="F14" s="52"/>
      <c r="G14" s="52"/>
      <c r="H14" s="14"/>
      <c r="I14" s="13"/>
      <c r="J14" s="15"/>
      <c r="K14" s="219"/>
      <c r="L14" s="219"/>
      <c r="M14" s="219"/>
      <c r="N14" s="219"/>
      <c r="O14" s="219"/>
      <c r="P14" s="219"/>
    </row>
    <row r="15" spans="1:20" x14ac:dyDescent="0.25">
      <c r="A15" s="7" t="s">
        <v>38</v>
      </c>
      <c r="B15" s="134">
        <f>Bearings!B2</f>
        <v>4956.2262269159473</v>
      </c>
      <c r="D15" s="12" t="s">
        <v>39</v>
      </c>
      <c r="E15" s="17" t="s">
        <v>40</v>
      </c>
      <c r="F15" s="17" t="s">
        <v>41</v>
      </c>
      <c r="G15" s="17" t="s">
        <v>40</v>
      </c>
      <c r="H15" s="17"/>
      <c r="I15" s="17" t="s">
        <v>40</v>
      </c>
      <c r="J15" s="18" t="s">
        <v>42</v>
      </c>
      <c r="K15" s="219"/>
      <c r="L15" s="219"/>
      <c r="M15" s="219"/>
      <c r="N15" s="219"/>
      <c r="O15" s="219"/>
      <c r="P15" s="219"/>
    </row>
    <row r="16" spans="1:20" x14ac:dyDescent="0.25">
      <c r="D16" s="12" t="s">
        <v>43</v>
      </c>
      <c r="E16" s="3">
        <f>35</f>
        <v>35</v>
      </c>
      <c r="F16" s="19">
        <f>DShaft1+Shoulder_height</f>
        <v>45</v>
      </c>
      <c r="G16" s="19">
        <f>F16</f>
        <v>45</v>
      </c>
      <c r="H16" s="19">
        <f>DShaft2+'Input Shaft'!Shoulder_height</f>
        <v>55</v>
      </c>
      <c r="I16" s="19">
        <f>DShaft1</f>
        <v>35</v>
      </c>
      <c r="J16" s="20">
        <f>DShaft1</f>
        <v>35</v>
      </c>
      <c r="K16" s="219"/>
      <c r="L16" s="219"/>
      <c r="M16" s="219"/>
      <c r="N16" s="219"/>
      <c r="O16" s="220"/>
      <c r="P16" s="220"/>
      <c r="Q16" s="134"/>
    </row>
    <row r="17" spans="1:16" x14ac:dyDescent="0.25">
      <c r="A17" s="7"/>
      <c r="B17" s="89"/>
      <c r="D17" s="12" t="s">
        <v>44</v>
      </c>
      <c r="E17" s="21">
        <v>25.4</v>
      </c>
      <c r="F17" s="21">
        <v>25.4</v>
      </c>
      <c r="G17" s="21">
        <v>0</v>
      </c>
      <c r="H17" s="21">
        <v>10</v>
      </c>
      <c r="I17" s="21">
        <v>25.4</v>
      </c>
      <c r="J17" s="22">
        <v>25.4</v>
      </c>
      <c r="K17" s="219"/>
      <c r="L17" s="219"/>
      <c r="M17" s="219"/>
      <c r="N17" s="219"/>
      <c r="O17" s="219"/>
      <c r="P17" s="219"/>
    </row>
    <row r="18" spans="1:16" ht="18.75" x14ac:dyDescent="0.3">
      <c r="A18" s="57" t="s">
        <v>45</v>
      </c>
      <c r="D18" s="12" t="s">
        <v>46</v>
      </c>
      <c r="E18" s="21"/>
      <c r="F18" s="21">
        <f>(14*9)/2</f>
        <v>63</v>
      </c>
      <c r="G18" s="21"/>
      <c r="H18" s="40">
        <f>PI()/4*( H16^2- (H16-2)^2 )</f>
        <v>169.64600329384882</v>
      </c>
      <c r="I18" s="21"/>
      <c r="J18" s="22">
        <f>(10*8)/2</f>
        <v>40</v>
      </c>
      <c r="K18" s="219"/>
      <c r="L18" s="219"/>
      <c r="M18" s="221"/>
      <c r="N18" s="221"/>
      <c r="O18" s="219"/>
      <c r="P18" s="219"/>
    </row>
    <row r="19" spans="1:16" x14ac:dyDescent="0.25">
      <c r="A19" s="58" t="s">
        <v>47</v>
      </c>
      <c r="D19" s="12" t="s">
        <v>48</v>
      </c>
      <c r="E19" s="21"/>
      <c r="F19" s="40">
        <f>F18*(0.8*F17)</f>
        <v>1280.1600000000001</v>
      </c>
      <c r="G19" s="40"/>
      <c r="H19" s="40">
        <f>H18*1</f>
        <v>169.64600329384882</v>
      </c>
      <c r="I19" s="21"/>
      <c r="J19" s="22">
        <f>J18*(0.8*J17)</f>
        <v>812.8</v>
      </c>
      <c r="K19" s="219"/>
      <c r="L19" s="219"/>
      <c r="M19" s="219"/>
      <c r="N19" s="219"/>
      <c r="O19" s="219"/>
      <c r="P19" s="219"/>
    </row>
    <row r="20" spans="1:16" x14ac:dyDescent="0.25">
      <c r="A20" s="58" t="s">
        <v>49</v>
      </c>
      <c r="D20" s="12" t="s">
        <v>50</v>
      </c>
      <c r="E20" s="65">
        <f>PI()/64*(E16^4)</f>
        <v>73661.757434268482</v>
      </c>
      <c r="F20" s="65">
        <f>PI()/64*(F16^4) - (F18^2/12 + F18*(F16/2-3)^2)</f>
        <v>177002.45898635383</v>
      </c>
      <c r="G20" s="65">
        <f>PI()/64*(G16^4)</f>
        <v>201288.95898635383</v>
      </c>
      <c r="H20" s="65">
        <f>PI()/64*(H16^4)</f>
        <v>449180.25430867344</v>
      </c>
      <c r="I20" s="65">
        <f t="shared" ref="I20" si="0">PI()/64*(I16^4)</f>
        <v>73661.757434268482</v>
      </c>
      <c r="J20" s="65">
        <f>PI()/64*(J16^4) - (J18^2/12 + J18*(J16/2-3)^2)</f>
        <v>65118.424100935146</v>
      </c>
      <c r="K20" s="219"/>
      <c r="L20" s="219"/>
      <c r="M20" s="219"/>
      <c r="N20" s="219"/>
      <c r="O20" s="219"/>
      <c r="P20" s="219"/>
    </row>
    <row r="21" spans="1:16" x14ac:dyDescent="0.25">
      <c r="A21" s="58" t="s">
        <v>51</v>
      </c>
      <c r="D21" s="12" t="s">
        <v>52</v>
      </c>
      <c r="E21" s="66">
        <f t="shared" ref="E21:J21" si="1">PI()/4*(E16^2)*E17 - E19</f>
        <v>24437.663854111601</v>
      </c>
      <c r="F21" s="66">
        <f t="shared" si="1"/>
        <v>39116.794534347748</v>
      </c>
      <c r="G21" s="66">
        <f t="shared" si="1"/>
        <v>0</v>
      </c>
      <c r="H21" s="66">
        <f t="shared" si="1"/>
        <v>23588.648439478966</v>
      </c>
      <c r="I21" s="66">
        <f t="shared" si="1"/>
        <v>24437.663854111601</v>
      </c>
      <c r="J21" s="67">
        <f t="shared" si="1"/>
        <v>23624.863854111602</v>
      </c>
      <c r="K21" s="219"/>
      <c r="L21" s="219"/>
      <c r="M21" s="219"/>
      <c r="N21" s="219"/>
      <c r="O21" s="219"/>
      <c r="P21" s="219"/>
    </row>
    <row r="22" spans="1:16" x14ac:dyDescent="0.25">
      <c r="A22" s="58" t="s">
        <v>53</v>
      </c>
      <c r="D22" s="12" t="s">
        <v>54</v>
      </c>
      <c r="E22" s="68">
        <f>-0.5822*F22</f>
        <v>13373.716200000001</v>
      </c>
      <c r="F22" s="68">
        <v>-22971</v>
      </c>
      <c r="G22" s="68">
        <v>0</v>
      </c>
      <c r="H22" s="68">
        <v>0</v>
      </c>
      <c r="I22" s="68">
        <f>-0.4179*F22</f>
        <v>9599.580899999999</v>
      </c>
      <c r="J22" s="68">
        <v>0</v>
      </c>
      <c r="K22" s="219"/>
      <c r="L22" s="219"/>
      <c r="M22" s="219"/>
      <c r="N22" s="219"/>
      <c r="O22" s="219"/>
      <c r="P22" s="219"/>
    </row>
    <row r="23" spans="1:16" x14ac:dyDescent="0.25">
      <c r="A23" s="58" t="s">
        <v>55</v>
      </c>
      <c r="D23" s="53" t="s">
        <v>56</v>
      </c>
      <c r="E23" s="63">
        <f t="shared" ref="E23:J23" si="2">E21*Shaft_density*gravity/(10^9) + E22</f>
        <v>13375.59810783691</v>
      </c>
      <c r="F23" s="63">
        <f t="shared" si="2"/>
        <v>-22967.987674328102</v>
      </c>
      <c r="G23" s="63">
        <f t="shared" si="2"/>
        <v>0</v>
      </c>
      <c r="H23" s="63">
        <f t="shared" si="2"/>
        <v>1.816526433351616</v>
      </c>
      <c r="I23" s="64">
        <f t="shared" si="2"/>
        <v>9601.4628078369078</v>
      </c>
      <c r="J23" s="63">
        <f t="shared" si="2"/>
        <v>1.8193153281093533</v>
      </c>
      <c r="K23" s="219"/>
      <c r="L23" s="219"/>
      <c r="M23" s="219"/>
      <c r="N23" s="219"/>
      <c r="O23" s="219"/>
      <c r="P23" s="219"/>
    </row>
    <row r="24" spans="1:16" x14ac:dyDescent="0.25">
      <c r="D24" s="12" t="s">
        <v>57</v>
      </c>
      <c r="E24" s="65">
        <f>(10^-3) * ( -F23*(F17/2+E17/2) - G23*(G17/2+F17+E17/2) - H23*(H17/2+F17+G17+E17/2) - I23*(I17/2+H17+G17+F17+E17/2) - J23*(J17/2+I17+H17+G17+F17+E17/2) )</f>
        <v>-0.61716905911066811</v>
      </c>
      <c r="F24" s="65">
        <f>(10^-3) * ( E23*(E17/2+F17/2) - G23*(G17/2+F17/2) - H23*(H17/2+G17+F17/2) - I23*(I17/2+H17+G17+F17/2) - J23*(J17/2+I17+H17+G17+F17/2) )</f>
        <v>-0.29435834818839651</v>
      </c>
      <c r="G24" s="65">
        <f>(10^-3) * ( E23*(E17/2+F17+G17/2) + F23*(F17/2+G17/2) - H23*(H17/2+G17/2) - I23*(I17/2+H17+G17/2) - J23*(J17/2+I17+H17+G17/2) )</f>
        <v>-0.13295299272737721</v>
      </c>
      <c r="H24" s="65">
        <f>(10^-3) * ( E23*(E17/2+F17+G17+H17/2) + F23*(F17/2+G17+H17/2) + G23*(G17/1+H17/2)- I23*(I17/2+H17/2) - J23*(J17/2+I17+H17/2) )</f>
        <v>-6.9407577191439904E-2</v>
      </c>
      <c r="I24" s="65">
        <f>(10^-3) * ( E23*(E17/2+F17+H17 + I17/2) + F23*(F17/2+G17+H17 +I17/2) + G23*(F17/2+G17+H17 +I17/2) + H23*(H17/2+I17/2) - J23*(J17/2+I17/2) )</f>
        <v>0.15554319380559714</v>
      </c>
      <c r="J24" s="65">
        <f>(10^-3) * ( E23*(E17/2+F17+H17 + I17 + J17/2) + F23*(F17/2+G17+H17 +I17 + J17/2) + G23*(G17/2 + H17 + I17 + J17/2) + H23*(H17/2+I17 + J17/2) + I23*(I17/2+J17/2) )</f>
        <v>0.47835390472802103</v>
      </c>
      <c r="K24" s="219"/>
      <c r="L24" s="219"/>
      <c r="M24" s="219"/>
      <c r="N24" s="219"/>
      <c r="O24" s="219"/>
      <c r="P24" s="219"/>
    </row>
    <row r="25" spans="1:16" ht="30.95" customHeight="1" x14ac:dyDescent="0.25">
      <c r="D25" s="12" t="s">
        <v>58</v>
      </c>
      <c r="E25" s="65">
        <f>(10^-3) * (-E23*E16/2)</f>
        <v>-234.07296688714592</v>
      </c>
      <c r="F25" s="65">
        <f>(10^-3) * ( -E23*(E17/2+F17) -F23*(F17/2) )</f>
        <v>-217.91684444461927</v>
      </c>
      <c r="G25" s="65">
        <f>F25</f>
        <v>-217.91684444461927</v>
      </c>
      <c r="H25" s="65">
        <f>(10^-3) * ( -E23*(E17/2+F17) - F23*(F17/2))</f>
        <v>-217.91684444461927</v>
      </c>
      <c r="I25" s="65">
        <f>(10^-3) * (I23*(I17/2)- J23*(J17+I17) )</f>
        <v>121.84615644086077</v>
      </c>
      <c r="J25" s="65">
        <f>(10^-3) * (J23*(I17/2) )</f>
        <v>2.3105304666988787E-2</v>
      </c>
      <c r="K25" s="219"/>
      <c r="L25" s="219"/>
      <c r="M25" s="219"/>
      <c r="N25" s="219"/>
      <c r="O25" s="219"/>
      <c r="P25" s="219"/>
    </row>
    <row r="26" spans="1:16" x14ac:dyDescent="0.25">
      <c r="B26" s="89"/>
      <c r="D26" s="24" t="s">
        <v>59</v>
      </c>
      <c r="E26" s="25"/>
      <c r="F26" s="104">
        <f>SUM(E23:J23)</f>
        <v>12.709083107175813</v>
      </c>
      <c r="G26" s="174"/>
      <c r="H26" s="25"/>
      <c r="I26" s="25"/>
      <c r="J26" s="26"/>
      <c r="K26" s="219"/>
      <c r="L26" s="219"/>
      <c r="M26" s="219"/>
      <c r="N26" s="219"/>
      <c r="O26" s="219"/>
      <c r="P26" s="219"/>
    </row>
    <row r="27" spans="1:16" x14ac:dyDescent="0.25">
      <c r="D27" s="7"/>
      <c r="K27" s="219"/>
      <c r="L27" s="219"/>
      <c r="M27" s="219"/>
      <c r="N27" s="219"/>
      <c r="O27" s="219"/>
      <c r="P27" s="219"/>
    </row>
    <row r="28" spans="1:16" x14ac:dyDescent="0.25">
      <c r="K28" s="219"/>
      <c r="L28" s="219"/>
      <c r="M28" s="219"/>
      <c r="N28" s="219"/>
      <c r="O28" s="219"/>
      <c r="P28" s="219"/>
    </row>
    <row r="29" spans="1:16" ht="17.25" x14ac:dyDescent="0.3">
      <c r="A29" s="9" t="s">
        <v>0</v>
      </c>
      <c r="B29" s="11"/>
      <c r="D29" s="9" t="s">
        <v>60</v>
      </c>
      <c r="E29" s="27" t="s">
        <v>61</v>
      </c>
      <c r="F29" s="28" t="s">
        <v>62</v>
      </c>
      <c r="H29" s="9" t="s">
        <v>63</v>
      </c>
      <c r="I29" s="27" t="s">
        <v>61</v>
      </c>
      <c r="J29" s="28" t="s">
        <v>62</v>
      </c>
      <c r="L29" s="9" t="s">
        <v>64</v>
      </c>
      <c r="M29" s="27" t="s">
        <v>61</v>
      </c>
      <c r="N29" s="28" t="s">
        <v>62</v>
      </c>
    </row>
    <row r="30" spans="1:16" x14ac:dyDescent="0.25">
      <c r="A30" s="12" t="s">
        <v>65</v>
      </c>
      <c r="B30" s="160">
        <v>21772</v>
      </c>
      <c r="D30" s="29" t="s">
        <v>66</v>
      </c>
      <c r="E30" s="30">
        <f>E31*E32*E33*E34*E35*E36</f>
        <v>264178261.48761478</v>
      </c>
      <c r="F30" s="31">
        <f>F31*F32*F33*F34*F35*F36</f>
        <v>377397516.4108783</v>
      </c>
      <c r="H30" s="29" t="s">
        <v>66</v>
      </c>
      <c r="I30" s="30">
        <f>I31*I32*I33*I34*I35*I36</f>
        <v>257816117.67990917</v>
      </c>
      <c r="J30" s="31">
        <f>J31*J32*J33*J34*J35*J36</f>
        <v>368308739.54272729</v>
      </c>
      <c r="L30" s="29" t="s">
        <v>66</v>
      </c>
      <c r="M30" s="30">
        <f>M31*M32*M33*M34*M35*M36</f>
        <v>252846238.54483023</v>
      </c>
      <c r="N30" s="31">
        <f>N31*N32*N33*N34*N35*N36</f>
        <v>361208912.2069003</v>
      </c>
    </row>
    <row r="31" spans="1:16" x14ac:dyDescent="0.25">
      <c r="A31" s="12" t="s">
        <v>67</v>
      </c>
      <c r="B31" s="38">
        <f>B30*TAN(RADIANS(20))</f>
        <v>7924.3599404437573</v>
      </c>
      <c r="D31" s="12" t="s">
        <v>68</v>
      </c>
      <c r="E31" s="40">
        <v>0.7</v>
      </c>
      <c r="F31" s="128">
        <v>1</v>
      </c>
      <c r="H31" s="12" t="s">
        <v>68</v>
      </c>
      <c r="I31" s="40">
        <v>0.7</v>
      </c>
      <c r="J31" s="128">
        <v>1</v>
      </c>
      <c r="L31" s="12" t="s">
        <v>68</v>
      </c>
      <c r="M31" s="40">
        <v>0.7</v>
      </c>
      <c r="N31" s="128">
        <v>1</v>
      </c>
    </row>
    <row r="32" spans="1:16" x14ac:dyDescent="0.25">
      <c r="A32" s="12" t="s">
        <v>69</v>
      </c>
      <c r="B32" s="38">
        <f>B30*TAN(RADIANS(20))</f>
        <v>7924.3599404437573</v>
      </c>
      <c r="D32" s="12" t="s">
        <v>70</v>
      </c>
      <c r="E32" s="42">
        <f>1.189*(DShaft1)^(-0.097)</f>
        <v>0.84218451966279351</v>
      </c>
      <c r="F32" s="129">
        <f>1.189*(DShaft1)^(-0.097)</f>
        <v>0.84218451966279351</v>
      </c>
      <c r="H32" s="12" t="s">
        <v>70</v>
      </c>
      <c r="I32" s="42">
        <f>1.189*(DShaft2)^(-0.097)</f>
        <v>0.82190238518077274</v>
      </c>
      <c r="J32" s="129">
        <f>1.189*(DShaft2)^(-0.097)</f>
        <v>0.82190238518077274</v>
      </c>
      <c r="L32" s="12" t="s">
        <v>70</v>
      </c>
      <c r="M32" s="42">
        <f>1.189*(H16)^(-0.097)</f>
        <v>0.80605870732253693</v>
      </c>
      <c r="N32" s="129">
        <f>1.189*(H16)^(-0.097)</f>
        <v>0.80605870732253693</v>
      </c>
    </row>
    <row r="33" spans="1:14" x14ac:dyDescent="0.25">
      <c r="A33" s="12" t="s">
        <v>71</v>
      </c>
      <c r="B33" s="3"/>
      <c r="D33" s="12" t="s">
        <v>72</v>
      </c>
      <c r="E33" s="42">
        <f>4.51*(B13/10^6)^(-0.265)</f>
        <v>0.62134621442795057</v>
      </c>
      <c r="F33" s="129">
        <f>4.51*(B13/10^6)^(-0.265)</f>
        <v>0.62134621442795057</v>
      </c>
      <c r="H33" s="12" t="s">
        <v>72</v>
      </c>
      <c r="I33" s="42">
        <f>4.51*(B13/10^6)^(-0.265)</f>
        <v>0.62134621442795057</v>
      </c>
      <c r="J33" s="129">
        <f>4.51*(B13/10^6)^(-0.265)</f>
        <v>0.62134621442795057</v>
      </c>
      <c r="L33" s="12" t="s">
        <v>72</v>
      </c>
      <c r="M33" s="42">
        <f>4.51*(B13/10^6)^(-0.265)</f>
        <v>0.62134621442795057</v>
      </c>
      <c r="N33" s="129">
        <f>4.51*(B13/10^6)^(-0.265)</f>
        <v>0.62134621442795057</v>
      </c>
    </row>
    <row r="34" spans="1:14" x14ac:dyDescent="0.25">
      <c r="A34" s="35" t="s">
        <v>73</v>
      </c>
      <c r="B34" s="3">
        <v>0</v>
      </c>
      <c r="D34" s="12" t="s">
        <v>74</v>
      </c>
      <c r="E34" s="40">
        <v>1</v>
      </c>
      <c r="F34" s="128">
        <v>1</v>
      </c>
      <c r="H34" s="12" t="s">
        <v>74</v>
      </c>
      <c r="I34" s="40">
        <v>1</v>
      </c>
      <c r="J34" s="128">
        <v>1</v>
      </c>
      <c r="L34" s="12" t="s">
        <v>74</v>
      </c>
      <c r="M34" s="40">
        <v>1</v>
      </c>
      <c r="N34" s="128">
        <v>1</v>
      </c>
    </row>
    <row r="35" spans="1:14" x14ac:dyDescent="0.25">
      <c r="D35" s="12" t="s">
        <v>75</v>
      </c>
      <c r="E35" s="40">
        <v>0.81399999999999995</v>
      </c>
      <c r="F35" s="128">
        <v>0.81399999999999995</v>
      </c>
      <c r="H35" s="12" t="s">
        <v>75</v>
      </c>
      <c r="I35" s="40">
        <v>0.81399999999999995</v>
      </c>
      <c r="J35" s="128">
        <v>0.81399999999999995</v>
      </c>
      <c r="L35" s="12" t="s">
        <v>75</v>
      </c>
      <c r="M35" s="40">
        <v>0.81399999999999995</v>
      </c>
      <c r="N35" s="128">
        <v>0.81399999999999995</v>
      </c>
    </row>
    <row r="36" spans="1:14" x14ac:dyDescent="0.25">
      <c r="D36" s="35" t="s">
        <v>76</v>
      </c>
      <c r="E36" s="36">
        <f>B13/2</f>
        <v>886000000</v>
      </c>
      <c r="F36" s="37">
        <f>B13/2</f>
        <v>886000000</v>
      </c>
      <c r="H36" s="35" t="s">
        <v>77</v>
      </c>
      <c r="I36" s="36">
        <f>B13/2</f>
        <v>886000000</v>
      </c>
      <c r="J36" s="37">
        <f>B13/2</f>
        <v>886000000</v>
      </c>
      <c r="L36" s="35" t="s">
        <v>77</v>
      </c>
      <c r="M36" s="36">
        <f>B13/2</f>
        <v>886000000</v>
      </c>
      <c r="N36" s="37">
        <f>B13/2</f>
        <v>886000000</v>
      </c>
    </row>
    <row r="39" spans="1:14" ht="17.25" x14ac:dyDescent="0.3">
      <c r="A39" s="7" t="s">
        <v>77</v>
      </c>
      <c r="B39" s="6">
        <f>$J$30</f>
        <v>368308739.54272729</v>
      </c>
      <c r="D39" s="9" t="s">
        <v>78</v>
      </c>
      <c r="E39" s="10"/>
      <c r="F39" s="10"/>
      <c r="G39" s="10"/>
      <c r="H39" s="11"/>
      <c r="J39" s="44" t="s">
        <v>79</v>
      </c>
      <c r="K39" s="45">
        <f>(H43*(DShaft1/2000))/(H44)</f>
        <v>-55609274.923698857</v>
      </c>
      <c r="L39" s="27" t="s">
        <v>80</v>
      </c>
      <c r="M39" s="46">
        <f>E48*K39</f>
        <v>-97148354.211150289</v>
      </c>
    </row>
    <row r="40" spans="1:14" x14ac:dyDescent="0.25">
      <c r="A40" s="7" t="s">
        <v>81</v>
      </c>
      <c r="B40" s="6">
        <f>L43</f>
        <v>319534644.70179516</v>
      </c>
      <c r="D40" s="12" t="s">
        <v>82</v>
      </c>
      <c r="E40" s="40">
        <f>0.99682*(E44)^-0.25751</f>
        <v>2.0831064848996239</v>
      </c>
      <c r="F40" s="13"/>
      <c r="G40" s="41" t="s">
        <v>83</v>
      </c>
      <c r="H40" s="32">
        <v>0</v>
      </c>
      <c r="J40" s="12" t="s">
        <v>84</v>
      </c>
      <c r="K40" s="33">
        <f>H40/H46</f>
        <v>0</v>
      </c>
      <c r="L40" s="41" t="s">
        <v>85</v>
      </c>
      <c r="M40" s="34">
        <f>E47*K40</f>
        <v>0</v>
      </c>
    </row>
    <row r="41" spans="1:14" x14ac:dyDescent="0.25">
      <c r="A41" s="7" t="s">
        <v>86</v>
      </c>
      <c r="B41" s="6">
        <f>L44</f>
        <v>97148354.211150289</v>
      </c>
      <c r="D41" s="12" t="s">
        <v>87</v>
      </c>
      <c r="E41" s="40">
        <f>0.97098*(E44)^-0.21796</f>
        <v>1.8119360160779978</v>
      </c>
      <c r="F41" s="13"/>
      <c r="G41" s="41" t="s">
        <v>88</v>
      </c>
      <c r="H41" s="32">
        <f>Input_Torque</f>
        <v>1632.9</v>
      </c>
      <c r="J41" s="12" t="s">
        <v>89</v>
      </c>
      <c r="K41" s="33">
        <f>H41*(DShaft1/2000)/H45</f>
        <v>193965980.41731057</v>
      </c>
      <c r="L41" s="41" t="s">
        <v>90</v>
      </c>
      <c r="M41" s="34">
        <f>E49*K41</f>
        <v>319534644.70179516</v>
      </c>
    </row>
    <row r="42" spans="1:14" x14ac:dyDescent="0.25">
      <c r="A42" s="7" t="s">
        <v>91</v>
      </c>
      <c r="B42" s="91">
        <f>SQRT(B41^2+B40^2)</f>
        <v>333976334.32720584</v>
      </c>
      <c r="D42" s="12" t="s">
        <v>92</v>
      </c>
      <c r="E42" s="40">
        <f>0.84897*(E44)^-0.23161</f>
        <v>1.6473746788706365</v>
      </c>
      <c r="F42" s="13"/>
      <c r="G42" s="41" t="s">
        <v>93</v>
      </c>
      <c r="H42" s="32">
        <v>0</v>
      </c>
      <c r="J42" s="47"/>
      <c r="K42" s="13"/>
      <c r="L42" s="13"/>
      <c r="M42" s="15"/>
    </row>
    <row r="43" spans="1:14" x14ac:dyDescent="0.25">
      <c r="A43" s="7" t="s">
        <v>94</v>
      </c>
      <c r="B43" s="91">
        <f>SQRT((B40-B44)^2+(B41-B45)^2)</f>
        <v>200461068.05554977</v>
      </c>
      <c r="D43" s="12" t="s">
        <v>95</v>
      </c>
      <c r="E43" s="42">
        <f>DShaft2/DShaft1</f>
        <v>1.2857142857142858</v>
      </c>
      <c r="F43" s="13"/>
      <c r="G43" s="41" t="s">
        <v>96</v>
      </c>
      <c r="H43" s="32">
        <f>E25</f>
        <v>-234.07296688714592</v>
      </c>
      <c r="J43" s="47"/>
      <c r="K43" s="41" t="s">
        <v>97</v>
      </c>
      <c r="L43" s="30">
        <f>SQRT(SUMSQ(M40:M41))</f>
        <v>319534644.70179516</v>
      </c>
      <c r="M43" s="15"/>
    </row>
    <row r="44" spans="1:14" x14ac:dyDescent="0.25">
      <c r="A44" s="7" t="s">
        <v>98</v>
      </c>
      <c r="B44" s="91">
        <f>$B$13*(B39^2-B39*B41+$B$13*B40)/(B39^2+$B$13^2)</f>
        <v>360328456.79336971</v>
      </c>
      <c r="D44" s="12" t="s">
        <v>99</v>
      </c>
      <c r="E44" s="42">
        <f>E45/DShaft1</f>
        <v>5.7142857142857141E-2</v>
      </c>
      <c r="F44" s="13"/>
      <c r="G44" s="41" t="s">
        <v>100</v>
      </c>
      <c r="H44" s="34">
        <f>E20*0.000000000001</f>
        <v>7.3661757434268478E-8</v>
      </c>
      <c r="J44" s="48"/>
      <c r="K44" s="49" t="s">
        <v>101</v>
      </c>
      <c r="L44" s="50">
        <f>ABS(M39)</f>
        <v>97148354.211150289</v>
      </c>
      <c r="M44" s="26"/>
    </row>
    <row r="45" spans="1:14" x14ac:dyDescent="0.25">
      <c r="A45" s="7" t="s">
        <v>102</v>
      </c>
      <c r="B45" s="91">
        <f>-B39/$B$13*(B44)+B39</f>
        <v>293414766.77582997</v>
      </c>
      <c r="D45" s="12" t="s">
        <v>103</v>
      </c>
      <c r="E45" s="130">
        <v>2</v>
      </c>
      <c r="F45" s="13" t="s">
        <v>104</v>
      </c>
      <c r="G45" s="41" t="s">
        <v>105</v>
      </c>
      <c r="H45" s="34">
        <f>2*H44</f>
        <v>1.4732351486853696E-7</v>
      </c>
    </row>
    <row r="46" spans="1:14" x14ac:dyDescent="0.25">
      <c r="A46" s="7" t="s">
        <v>106</v>
      </c>
      <c r="B46" s="62">
        <f>(B42+B43)/B42</f>
        <v>1.600225367642824</v>
      </c>
      <c r="D46" s="12" t="s">
        <v>107</v>
      </c>
      <c r="E46" s="40">
        <v>0.92</v>
      </c>
      <c r="F46" s="13"/>
      <c r="G46" s="41" t="s">
        <v>108</v>
      </c>
      <c r="H46" s="34">
        <f>PI()/4*(DShaft1/1000)^2</f>
        <v>9.6211275016187424E-4</v>
      </c>
    </row>
    <row r="47" spans="1:14" x14ac:dyDescent="0.25">
      <c r="D47" s="12" t="s">
        <v>109</v>
      </c>
      <c r="E47" s="42">
        <f>E40</f>
        <v>2.0831064848996239</v>
      </c>
      <c r="F47" s="208" t="s">
        <v>110</v>
      </c>
      <c r="G47" s="13"/>
      <c r="H47" s="15"/>
    </row>
    <row r="48" spans="1:14" x14ac:dyDescent="0.25">
      <c r="D48" s="12" t="s">
        <v>111</v>
      </c>
      <c r="E48" s="42">
        <f>1+$E$46*(E41-1)</f>
        <v>1.7469811347917581</v>
      </c>
      <c r="F48" s="208"/>
      <c r="G48" s="17" t="s">
        <v>40</v>
      </c>
      <c r="H48" s="15"/>
    </row>
    <row r="49" spans="1:13" x14ac:dyDescent="0.25">
      <c r="D49" s="35" t="s">
        <v>112</v>
      </c>
      <c r="E49" s="118">
        <f>E42</f>
        <v>1.6473746788706365</v>
      </c>
      <c r="F49" s="209" t="s">
        <v>110</v>
      </c>
      <c r="G49" s="25"/>
      <c r="H49" s="26"/>
    </row>
    <row r="51" spans="1:13" x14ac:dyDescent="0.25">
      <c r="D51" s="4" t="s">
        <v>113</v>
      </c>
    </row>
    <row r="52" spans="1:13" ht="17.25" x14ac:dyDescent="0.3">
      <c r="A52" s="7" t="s">
        <v>77</v>
      </c>
      <c r="B52" s="6">
        <f>$J$30</f>
        <v>368308739.54272729</v>
      </c>
      <c r="D52" s="9" t="s">
        <v>114</v>
      </c>
      <c r="E52" s="10"/>
      <c r="F52" s="10"/>
      <c r="G52" s="10"/>
      <c r="H52" s="11"/>
      <c r="J52" s="44" t="s">
        <v>79</v>
      </c>
      <c r="K52" s="45">
        <f>(H56*(DShaft2/2000))/(H57)</f>
        <v>-27700908.948287237</v>
      </c>
      <c r="L52" s="27" t="s">
        <v>80</v>
      </c>
      <c r="M52" s="46">
        <f>E61*K52</f>
        <v>-56753622.253250889</v>
      </c>
    </row>
    <row r="53" spans="1:13" x14ac:dyDescent="0.25">
      <c r="A53" s="7" t="s">
        <v>81</v>
      </c>
      <c r="B53" s="6">
        <f>L56</f>
        <v>271915586.79820722</v>
      </c>
      <c r="D53" s="12" t="s">
        <v>82</v>
      </c>
      <c r="E53" s="40">
        <v>1</v>
      </c>
      <c r="F53" s="17" t="s">
        <v>115</v>
      </c>
      <c r="G53" s="41" t="s">
        <v>83</v>
      </c>
      <c r="H53" s="32">
        <v>0</v>
      </c>
      <c r="J53" s="12" t="s">
        <v>84</v>
      </c>
      <c r="K53" s="33">
        <f>H53/H59</f>
        <v>0</v>
      </c>
      <c r="L53" s="41" t="s">
        <v>85</v>
      </c>
      <c r="M53" s="34">
        <f>E60*K53</f>
        <v>0</v>
      </c>
    </row>
    <row r="54" spans="1:13" x14ac:dyDescent="0.25">
      <c r="A54" s="7" t="s">
        <v>86</v>
      </c>
      <c r="B54" s="6">
        <f>L57</f>
        <v>56753622.253250889</v>
      </c>
      <c r="D54" s="12" t="s">
        <v>87</v>
      </c>
      <c r="E54" s="40">
        <v>2.14</v>
      </c>
      <c r="F54" s="17" t="s">
        <v>116</v>
      </c>
      <c r="G54" s="41" t="s">
        <v>88</v>
      </c>
      <c r="H54" s="32">
        <f>Input_Torque</f>
        <v>1632.9</v>
      </c>
      <c r="J54" s="12" t="s">
        <v>89</v>
      </c>
      <c r="K54" s="33">
        <f>H54*(DShaft2/2000)/H58</f>
        <v>103784575.11381954</v>
      </c>
      <c r="L54" s="41" t="s">
        <v>90</v>
      </c>
      <c r="M54" s="34">
        <f>E62*K54</f>
        <v>271915586.79820722</v>
      </c>
    </row>
    <row r="55" spans="1:13" x14ac:dyDescent="0.25">
      <c r="A55" s="7" t="s">
        <v>91</v>
      </c>
      <c r="B55" s="91">
        <f>SQRT(B54^2+B53^2)</f>
        <v>277775196.84571922</v>
      </c>
      <c r="D55" s="12" t="s">
        <v>92</v>
      </c>
      <c r="E55" s="40">
        <v>2.62</v>
      </c>
      <c r="F55" s="17" t="s">
        <v>116</v>
      </c>
      <c r="G55" s="41" t="s">
        <v>93</v>
      </c>
      <c r="H55" s="32"/>
      <c r="J55" s="47"/>
      <c r="K55" s="13"/>
      <c r="L55" s="13"/>
      <c r="M55" s="15"/>
    </row>
    <row r="56" spans="1:13" x14ac:dyDescent="0.25">
      <c r="A56" s="7" t="s">
        <v>94</v>
      </c>
      <c r="B56" s="91">
        <f>SQRT((B53-B57)^2+(B54-B58)^2)</f>
        <v>249701013.36627832</v>
      </c>
      <c r="D56" s="12" t="s">
        <v>95</v>
      </c>
      <c r="E56" s="42">
        <f>DShaft2/DShaft1</f>
        <v>1.2857142857142858</v>
      </c>
      <c r="F56" s="13"/>
      <c r="G56" s="41" t="s">
        <v>96</v>
      </c>
      <c r="H56" s="32">
        <f>F25</f>
        <v>-217.91684444461927</v>
      </c>
      <c r="J56" s="47"/>
      <c r="K56" s="41" t="s">
        <v>97</v>
      </c>
      <c r="L56" s="30">
        <f>SQRT(SUMSQ(M53:M54))</f>
        <v>271915586.79820722</v>
      </c>
      <c r="M56" s="15"/>
    </row>
    <row r="57" spans="1:13" x14ac:dyDescent="0.25">
      <c r="A57" s="7" t="s">
        <v>98</v>
      </c>
      <c r="B57" s="91">
        <f>$B$13*(B52^2-B52*B54+$B$13*B53)/(B52^2+$B$13^2)</f>
        <v>322729724.01270604</v>
      </c>
      <c r="D57" s="12" t="s">
        <v>99</v>
      </c>
      <c r="E57" s="42">
        <f>E58/DShaft2</f>
        <v>2.2222222222222223E-2</v>
      </c>
      <c r="F57" s="13"/>
      <c r="G57" s="41" t="s">
        <v>100</v>
      </c>
      <c r="H57" s="34">
        <f>F20/10^12</f>
        <v>1.7700245898635383E-7</v>
      </c>
      <c r="J57" s="48"/>
      <c r="K57" s="49" t="s">
        <v>101</v>
      </c>
      <c r="L57" s="50">
        <f>ABS(M52)</f>
        <v>56753622.253250889</v>
      </c>
      <c r="M57" s="26"/>
    </row>
    <row r="58" spans="1:13" x14ac:dyDescent="0.25">
      <c r="A58" s="7" t="s">
        <v>102</v>
      </c>
      <c r="B58" s="91">
        <f>-B52/$B$13*(B57)+B52</f>
        <v>301229632.39594853</v>
      </c>
      <c r="D58" s="12" t="s">
        <v>103</v>
      </c>
      <c r="E58" s="40">
        <v>1</v>
      </c>
      <c r="F58" s="13"/>
      <c r="G58" s="41" t="s">
        <v>105</v>
      </c>
      <c r="H58" s="34">
        <f>2*H57</f>
        <v>3.5400491797270766E-7</v>
      </c>
    </row>
    <row r="59" spans="1:13" x14ac:dyDescent="0.25">
      <c r="A59" s="7" t="s">
        <v>106</v>
      </c>
      <c r="B59" s="62">
        <f>(B55+B56)/B55</f>
        <v>1.8989320004153079</v>
      </c>
      <c r="D59" s="12" t="s">
        <v>107</v>
      </c>
      <c r="E59" s="40">
        <v>0.92</v>
      </c>
      <c r="F59" s="13"/>
      <c r="G59" s="41" t="s">
        <v>108</v>
      </c>
      <c r="H59" s="34">
        <f>PI()/4*(DShaft2/1000)^2</f>
        <v>1.5904312808798326E-3</v>
      </c>
    </row>
    <row r="60" spans="1:13" x14ac:dyDescent="0.25">
      <c r="D60" s="12" t="s">
        <v>109</v>
      </c>
      <c r="E60" s="42">
        <f>E53</f>
        <v>1</v>
      </c>
      <c r="F60" s="208" t="s">
        <v>110</v>
      </c>
      <c r="G60" s="13"/>
      <c r="H60" s="15"/>
    </row>
    <row r="61" spans="1:13" x14ac:dyDescent="0.25">
      <c r="D61" s="12" t="s">
        <v>111</v>
      </c>
      <c r="E61" s="42">
        <f t="shared" ref="E61" si="3">1+$E$59*(E54-1)</f>
        <v>2.0488</v>
      </c>
      <c r="F61" s="208"/>
      <c r="G61" s="13"/>
      <c r="H61" s="72"/>
    </row>
    <row r="62" spans="1:13" x14ac:dyDescent="0.25">
      <c r="D62" s="35" t="s">
        <v>112</v>
      </c>
      <c r="E62" s="118">
        <f>E55</f>
        <v>2.62</v>
      </c>
      <c r="F62" s="209" t="s">
        <v>110</v>
      </c>
      <c r="G62" s="25"/>
      <c r="H62" s="26"/>
    </row>
    <row r="63" spans="1:13" x14ac:dyDescent="0.25">
      <c r="D63" s="4"/>
    </row>
    <row r="64" spans="1:13" ht="17.25" x14ac:dyDescent="0.3">
      <c r="A64" s="7" t="s">
        <v>77</v>
      </c>
      <c r="B64" s="6">
        <f>$J$30</f>
        <v>368308739.54272729</v>
      </c>
      <c r="D64" s="9" t="s">
        <v>117</v>
      </c>
      <c r="E64" s="10"/>
      <c r="F64" s="10"/>
      <c r="G64" s="10"/>
      <c r="H64" s="11"/>
      <c r="J64" s="44" t="s">
        <v>79</v>
      </c>
      <c r="K64" s="45">
        <f>(H68*(DShaft2/2000))/(H69)</f>
        <v>-16900.569367777061</v>
      </c>
      <c r="L64" s="27" t="s">
        <v>80</v>
      </c>
      <c r="M64" s="46">
        <f>E73*K64</f>
        <v>-35964.599627046155</v>
      </c>
    </row>
    <row r="65" spans="1:15" x14ac:dyDescent="0.25">
      <c r="A65" s="7" t="s">
        <v>81</v>
      </c>
      <c r="B65" s="6">
        <f>L68</f>
        <v>197817835.899773</v>
      </c>
      <c r="D65" s="12" t="s">
        <v>82</v>
      </c>
      <c r="E65" s="40">
        <f>0.96272*(E69)^-0.25527</f>
        <v>2.5439908944696721</v>
      </c>
      <c r="F65" s="13"/>
      <c r="G65" s="41" t="s">
        <v>83</v>
      </c>
      <c r="H65" s="32">
        <f>B31</f>
        <v>7924.3599404437573</v>
      </c>
      <c r="J65" s="12" t="s">
        <v>84</v>
      </c>
      <c r="K65" s="33">
        <f>H65/H71</f>
        <v>4982522.6878460106</v>
      </c>
      <c r="L65" s="41" t="s">
        <v>85</v>
      </c>
      <c r="M65" s="34">
        <f>E72*K65</f>
        <v>12675492.349368807</v>
      </c>
    </row>
    <row r="66" spans="1:15" x14ac:dyDescent="0.25">
      <c r="A66" s="7" t="s">
        <v>86</v>
      </c>
      <c r="B66" s="6">
        <f>L69</f>
        <v>35964.599627046155</v>
      </c>
      <c r="D66" s="12" t="s">
        <v>87</v>
      </c>
      <c r="E66" s="40">
        <f>0.97098*(E69)^-0.21796</f>
        <v>2.2260990485002936</v>
      </c>
      <c r="F66" s="13"/>
      <c r="G66" s="41" t="s">
        <v>88</v>
      </c>
      <c r="H66" s="32">
        <f>Input_Torque</f>
        <v>1632.9</v>
      </c>
      <c r="J66" s="12" t="s">
        <v>89</v>
      </c>
      <c r="K66" s="33">
        <f>H66*(DShaft2/2000)/H70</f>
        <v>103784575.11381954</v>
      </c>
      <c r="L66" s="41" t="s">
        <v>90</v>
      </c>
      <c r="M66" s="34">
        <f>E74*K66</f>
        <v>197411317.03570244</v>
      </c>
    </row>
    <row r="67" spans="1:15" x14ac:dyDescent="0.25">
      <c r="A67" s="7" t="s">
        <v>91</v>
      </c>
      <c r="B67" s="91">
        <f>SQRT(B66^2+B65^2)</f>
        <v>197817839.1690748</v>
      </c>
      <c r="D67" s="12" t="s">
        <v>92</v>
      </c>
      <c r="E67" s="40">
        <f>0.834325*(E69)^-0.21649</f>
        <v>1.9021257910359353</v>
      </c>
      <c r="F67" s="13"/>
      <c r="G67" s="41" t="s">
        <v>93</v>
      </c>
      <c r="H67" s="32"/>
      <c r="J67" s="47"/>
      <c r="K67" s="13"/>
      <c r="L67" s="13"/>
      <c r="M67" s="15"/>
    </row>
    <row r="68" spans="1:15" ht="15.75" x14ac:dyDescent="0.25">
      <c r="A68" s="7" t="s">
        <v>94</v>
      </c>
      <c r="B68" s="91">
        <f>SQRT((B65-B69)^2+(B66-B70)^2)</f>
        <v>320310738.53937316</v>
      </c>
      <c r="D68" s="12" t="s">
        <v>95</v>
      </c>
      <c r="E68" s="42">
        <f>(H16)/DShaft2</f>
        <v>1.2222222222222223</v>
      </c>
      <c r="F68" s="13"/>
      <c r="G68" s="41" t="s">
        <v>96</v>
      </c>
      <c r="H68" s="175">
        <f>G24</f>
        <v>-0.13295299272737721</v>
      </c>
      <c r="I68" s="173"/>
      <c r="J68" s="47"/>
      <c r="K68" s="41" t="s">
        <v>97</v>
      </c>
      <c r="L68" s="30">
        <f>SQRT(SUMSQ(M65:M66))</f>
        <v>197817835.899773</v>
      </c>
      <c r="M68" s="15"/>
    </row>
    <row r="69" spans="1:15" x14ac:dyDescent="0.25">
      <c r="A69" s="7" t="s">
        <v>98</v>
      </c>
      <c r="B69" s="91">
        <f>$B$13*(B64^2-B64*B66+$B$13*B65)/(B64^2+$B$13^2)</f>
        <v>263001046.81266573</v>
      </c>
      <c r="D69" s="12" t="s">
        <v>99</v>
      </c>
      <c r="E69" s="42">
        <f>E70/DShaft2</f>
        <v>2.2222222222222223E-2</v>
      </c>
      <c r="F69" s="13"/>
      <c r="G69" s="41" t="s">
        <v>100</v>
      </c>
      <c r="H69" s="34">
        <f>F20/10^12</f>
        <v>1.7700245898635383E-7</v>
      </c>
      <c r="J69" s="48"/>
      <c r="K69" s="49" t="s">
        <v>101</v>
      </c>
      <c r="L69" s="50">
        <f>ABS(M64)</f>
        <v>35964.599627046155</v>
      </c>
      <c r="M69" s="26"/>
    </row>
    <row r="70" spans="1:15" x14ac:dyDescent="0.25">
      <c r="A70" s="7" t="s">
        <v>102</v>
      </c>
      <c r="B70" s="91">
        <f>-B64/$B$13*(B69)+B64</f>
        <v>313644188.72444808</v>
      </c>
      <c r="D70" s="12" t="s">
        <v>103</v>
      </c>
      <c r="E70" s="40">
        <v>1</v>
      </c>
      <c r="F70" s="13"/>
      <c r="G70" s="41" t="s">
        <v>105</v>
      </c>
      <c r="H70" s="34">
        <f>2*H69</f>
        <v>3.5400491797270766E-7</v>
      </c>
    </row>
    <row r="71" spans="1:15" x14ac:dyDescent="0.25">
      <c r="A71" s="7" t="s">
        <v>106</v>
      </c>
      <c r="B71" s="62">
        <f>(B67+B68)/B67</f>
        <v>2.6192206925564672</v>
      </c>
      <c r="D71" s="12" t="s">
        <v>107</v>
      </c>
      <c r="E71" s="40">
        <v>0.92</v>
      </c>
      <c r="F71" s="13"/>
      <c r="G71" s="41" t="s">
        <v>108</v>
      </c>
      <c r="H71" s="34">
        <f>PI()/4*(DShaft2/1000)^2</f>
        <v>1.5904312808798326E-3</v>
      </c>
    </row>
    <row r="72" spans="1:15" x14ac:dyDescent="0.25">
      <c r="D72" s="12" t="s">
        <v>109</v>
      </c>
      <c r="E72" s="42">
        <f>E65</f>
        <v>2.5439908944696721</v>
      </c>
      <c r="F72" s="208" t="s">
        <v>110</v>
      </c>
      <c r="G72" s="13"/>
      <c r="H72" s="15"/>
    </row>
    <row r="73" spans="1:15" x14ac:dyDescent="0.25">
      <c r="D73" s="12" t="s">
        <v>111</v>
      </c>
      <c r="E73" s="42">
        <f t="shared" ref="E73" si="4">1+$E$71*(E66-1)</f>
        <v>2.1280111246202704</v>
      </c>
      <c r="F73" s="208"/>
      <c r="G73" s="13"/>
      <c r="H73" s="114"/>
    </row>
    <row r="74" spans="1:15" x14ac:dyDescent="0.25">
      <c r="D74" s="35" t="s">
        <v>112</v>
      </c>
      <c r="E74" s="118">
        <f>E67</f>
        <v>1.9021257910359353</v>
      </c>
      <c r="F74" s="209" t="s">
        <v>110</v>
      </c>
      <c r="G74" s="25"/>
      <c r="H74" s="26"/>
    </row>
    <row r="75" spans="1:15" x14ac:dyDescent="0.25">
      <c r="D75" s="4"/>
    </row>
    <row r="76" spans="1:15" ht="17.25" x14ac:dyDescent="0.3">
      <c r="A76" s="7" t="s">
        <v>77</v>
      </c>
      <c r="B76" s="6">
        <f>$J$30</f>
        <v>368308739.54272729</v>
      </c>
      <c r="D76" s="9" t="s">
        <v>118</v>
      </c>
      <c r="E76" s="10"/>
      <c r="F76" s="10"/>
      <c r="G76" s="10"/>
      <c r="H76" s="11"/>
      <c r="J76" s="44" t="s">
        <v>79</v>
      </c>
      <c r="K76" s="45">
        <f>(H80*(DShaft2/2000))/(H81)</f>
        <v>37217935.268049486</v>
      </c>
      <c r="L76" s="27" t="s">
        <v>80</v>
      </c>
      <c r="M76" s="46">
        <f>E85*K76</f>
        <v>75137257.77828683</v>
      </c>
      <c r="O76" s="89"/>
    </row>
    <row r="77" spans="1:15" x14ac:dyDescent="0.25">
      <c r="A77" s="7" t="s">
        <v>81</v>
      </c>
      <c r="B77" s="6">
        <f>L80</f>
        <v>375384955.52968138</v>
      </c>
      <c r="D77" s="12" t="s">
        <v>82</v>
      </c>
      <c r="E77" s="40">
        <f>0.99682*(E81)^-0.25751</f>
        <v>2.4901740617964974</v>
      </c>
      <c r="F77" s="13"/>
      <c r="G77" s="41" t="s">
        <v>83</v>
      </c>
      <c r="H77" s="32">
        <f>B31</f>
        <v>7924.3599404437573</v>
      </c>
      <c r="J77" s="12" t="s">
        <v>84</v>
      </c>
      <c r="K77" s="33">
        <f>H77/H83</f>
        <v>4982522.6878460106</v>
      </c>
      <c r="L77" s="41" t="s">
        <v>85</v>
      </c>
      <c r="M77" s="34">
        <f>E84*K77</f>
        <v>12407348.759586701</v>
      </c>
    </row>
    <row r="78" spans="1:15" x14ac:dyDescent="0.25">
      <c r="A78" s="7" t="s">
        <v>86</v>
      </c>
      <c r="B78" s="6">
        <f>L81</f>
        <v>75137257.77828683</v>
      </c>
      <c r="D78" s="12" t="s">
        <v>87</v>
      </c>
      <c r="E78" s="40">
        <f>0.97098*(E81)^-0.21796</f>
        <v>2.107440662830514</v>
      </c>
      <c r="F78" s="13"/>
      <c r="G78" s="41" t="s">
        <v>88</v>
      </c>
      <c r="H78" s="32">
        <f>Input_Torque</f>
        <v>1632.9</v>
      </c>
      <c r="J78" s="12" t="s">
        <v>89</v>
      </c>
      <c r="K78" s="33">
        <f>H78*(DShaft1/2000)/H82</f>
        <v>193965980.41731057</v>
      </c>
      <c r="L78" s="41" t="s">
        <v>90</v>
      </c>
      <c r="M78" s="34">
        <f>E86*K78</f>
        <v>375179853.58328992</v>
      </c>
    </row>
    <row r="79" spans="1:15" x14ac:dyDescent="0.25">
      <c r="A79" s="7" t="s">
        <v>91</v>
      </c>
      <c r="B79" s="91">
        <f>SQRT(B78^2+B77^2)</f>
        <v>382830866.4991129</v>
      </c>
      <c r="D79" s="12" t="s">
        <v>92</v>
      </c>
      <c r="E79" s="40">
        <f>0.84897*(E81)^-0.23161</f>
        <v>1.9342559596074758</v>
      </c>
      <c r="F79" s="13"/>
      <c r="G79" s="41" t="s">
        <v>93</v>
      </c>
      <c r="H79" s="32"/>
      <c r="J79" s="47"/>
      <c r="K79" s="13"/>
      <c r="L79" s="13"/>
      <c r="M79" s="15"/>
    </row>
    <row r="80" spans="1:15" x14ac:dyDescent="0.25">
      <c r="A80" s="7" t="s">
        <v>94</v>
      </c>
      <c r="B80" s="91">
        <f>SQRT((B77-B81)^2+(B78-B82)^2)</f>
        <v>210646047.45393714</v>
      </c>
      <c r="D80" s="12" t="s">
        <v>95</v>
      </c>
      <c r="E80" s="42">
        <f>DShaft2/DShaft1</f>
        <v>1.2857142857142858</v>
      </c>
      <c r="F80" s="13"/>
      <c r="G80" s="41" t="s">
        <v>96</v>
      </c>
      <c r="H80" s="32">
        <f>I25</f>
        <v>121.84615644086077</v>
      </c>
      <c r="J80" s="47"/>
      <c r="K80" s="41" t="s">
        <v>97</v>
      </c>
      <c r="L80" s="30">
        <f>SQRT(SUMSQ(M77:M78))</f>
        <v>375384955.52968138</v>
      </c>
      <c r="M80" s="15"/>
    </row>
    <row r="81" spans="1:13" x14ac:dyDescent="0.25">
      <c r="A81" s="7" t="s">
        <v>98</v>
      </c>
      <c r="B81" s="91">
        <f>$B$13*(B76^2-B76*B78+$B$13*B77)/(B76^2+$B$13^2)</f>
        <v>418251410.15361661</v>
      </c>
      <c r="D81" s="12" t="s">
        <v>99</v>
      </c>
      <c r="E81" s="42">
        <f>E82/DShaft1</f>
        <v>2.8571428571428571E-2</v>
      </c>
      <c r="F81" s="13"/>
      <c r="G81" s="41" t="s">
        <v>100</v>
      </c>
      <c r="H81" s="34">
        <f>I20/10^12</f>
        <v>7.3661757434268478E-8</v>
      </c>
      <c r="J81" s="48"/>
      <c r="K81" s="49" t="s">
        <v>101</v>
      </c>
      <c r="L81" s="50">
        <f>ABS(M76)</f>
        <v>75137257.77828683</v>
      </c>
      <c r="M81" s="26"/>
    </row>
    <row r="82" spans="1:13" x14ac:dyDescent="0.25">
      <c r="A82" s="7" t="s">
        <v>102</v>
      </c>
      <c r="B82" s="91">
        <f>-B76/$B$13*(B81)+B76</f>
        <v>281375528.65917945</v>
      </c>
      <c r="D82" s="12" t="s">
        <v>103</v>
      </c>
      <c r="E82" s="40">
        <v>1</v>
      </c>
      <c r="F82" s="13"/>
      <c r="G82" s="41" t="s">
        <v>105</v>
      </c>
      <c r="H82" s="34">
        <f>2*H81</f>
        <v>1.4732351486853696E-7</v>
      </c>
    </row>
    <row r="83" spans="1:13" x14ac:dyDescent="0.25">
      <c r="A83" s="7" t="s">
        <v>106</v>
      </c>
      <c r="B83" s="62">
        <f>(B79+B80)/B79</f>
        <v>1.5502326637876396</v>
      </c>
      <c r="D83" s="12" t="s">
        <v>107</v>
      </c>
      <c r="E83" s="40">
        <v>0.92</v>
      </c>
      <c r="F83" s="13"/>
      <c r="G83" s="41" t="s">
        <v>108</v>
      </c>
      <c r="H83" s="34">
        <f>PI()/4*(DShaft2/1000)^2</f>
        <v>1.5904312808798326E-3</v>
      </c>
    </row>
    <row r="84" spans="1:13" x14ac:dyDescent="0.25">
      <c r="D84" s="12" t="s">
        <v>109</v>
      </c>
      <c r="E84" s="42">
        <f>E77</f>
        <v>2.4901740617964974</v>
      </c>
      <c r="F84" s="208" t="s">
        <v>110</v>
      </c>
      <c r="G84" s="13"/>
      <c r="H84" s="15"/>
    </row>
    <row r="85" spans="1:13" x14ac:dyDescent="0.25">
      <c r="D85" s="12" t="s">
        <v>111</v>
      </c>
      <c r="E85" s="42">
        <f t="shared" ref="E85" si="5">1+$E$83*(E78-1)</f>
        <v>2.0188454098040731</v>
      </c>
      <c r="F85" s="208"/>
      <c r="G85" s="13"/>
      <c r="H85" s="15"/>
    </row>
    <row r="86" spans="1:13" x14ac:dyDescent="0.25">
      <c r="D86" s="35" t="s">
        <v>112</v>
      </c>
      <c r="E86" s="118">
        <f>E79</f>
        <v>1.9342559596074758</v>
      </c>
      <c r="F86" s="209" t="s">
        <v>110</v>
      </c>
      <c r="G86" s="25"/>
      <c r="H86" s="26"/>
    </row>
    <row r="87" spans="1:13" x14ac:dyDescent="0.25">
      <c r="D87" s="4"/>
    </row>
    <row r="88" spans="1:13" ht="17.25" x14ac:dyDescent="0.3">
      <c r="A88" s="7" t="s">
        <v>77</v>
      </c>
      <c r="B88" s="6">
        <f>$J$30</f>
        <v>368308739.54272729</v>
      </c>
      <c r="D88" s="9" t="s">
        <v>119</v>
      </c>
      <c r="E88" s="10"/>
      <c r="F88" s="10"/>
      <c r="G88" s="10"/>
      <c r="H88" s="11"/>
      <c r="J88" s="44" t="s">
        <v>79</v>
      </c>
      <c r="K88" s="45">
        <f>(H92*(DShaft1/2000))/(H93)</f>
        <v>6209.3460837682824</v>
      </c>
      <c r="L88" s="27" t="s">
        <v>80</v>
      </c>
      <c r="M88" s="46">
        <f>E97*K88</f>
        <v>11636.314560981762</v>
      </c>
    </row>
    <row r="89" spans="1:13" x14ac:dyDescent="0.25">
      <c r="A89" s="7" t="s">
        <v>81</v>
      </c>
      <c r="B89" s="6">
        <f>L92</f>
        <v>614358387.08242762</v>
      </c>
      <c r="D89" s="12" t="s">
        <v>82</v>
      </c>
      <c r="E89" s="40">
        <f>E53</f>
        <v>1</v>
      </c>
      <c r="F89" s="17" t="s">
        <v>115</v>
      </c>
      <c r="G89" s="41" t="s">
        <v>83</v>
      </c>
      <c r="H89" s="32">
        <v>0</v>
      </c>
      <c r="J89" s="12" t="s">
        <v>84</v>
      </c>
      <c r="K89" s="33">
        <f>H89/H95</f>
        <v>0</v>
      </c>
      <c r="L89" s="41" t="s">
        <v>85</v>
      </c>
      <c r="M89" s="34">
        <f>E89*K89</f>
        <v>0</v>
      </c>
    </row>
    <row r="90" spans="1:13" x14ac:dyDescent="0.25">
      <c r="A90" s="7" t="s">
        <v>86</v>
      </c>
      <c r="B90" s="6">
        <f>L93</f>
        <v>11636.314560981762</v>
      </c>
      <c r="D90" s="12" t="s">
        <v>87</v>
      </c>
      <c r="E90" s="40">
        <v>1.95</v>
      </c>
      <c r="F90" s="17" t="s">
        <v>116</v>
      </c>
      <c r="G90" s="41" t="s">
        <v>88</v>
      </c>
      <c r="H90" s="32">
        <f>Input_Torque</f>
        <v>1632.9</v>
      </c>
      <c r="J90" s="12" t="s">
        <v>89</v>
      </c>
      <c r="K90" s="33">
        <f>H90*(DShaft1/2000)/H94</f>
        <v>219413709.6722956</v>
      </c>
      <c r="L90" s="41" t="s">
        <v>90</v>
      </c>
      <c r="M90" s="34">
        <f>E91*K90</f>
        <v>614358387.08242762</v>
      </c>
    </row>
    <row r="91" spans="1:13" x14ac:dyDescent="0.25">
      <c r="A91" s="7" t="s">
        <v>91</v>
      </c>
      <c r="B91" s="91">
        <f>SQRT(B90^2+B89^2)</f>
        <v>614358387.19262707</v>
      </c>
      <c r="D91" s="12" t="s">
        <v>92</v>
      </c>
      <c r="E91" s="40">
        <v>2.8</v>
      </c>
      <c r="F91" s="17" t="s">
        <v>116</v>
      </c>
      <c r="G91" s="41" t="s">
        <v>93</v>
      </c>
      <c r="H91" s="32"/>
      <c r="J91" s="47"/>
      <c r="K91" s="13"/>
      <c r="L91" s="13"/>
      <c r="M91" s="15"/>
    </row>
    <row r="92" spans="1:13" x14ac:dyDescent="0.25">
      <c r="A92" s="7" t="s">
        <v>94</v>
      </c>
      <c r="B92" s="91">
        <f>SQRT((B89-B93)^2+(B90-B94)^2)</f>
        <v>235568587.29270351</v>
      </c>
      <c r="D92" s="12" t="s">
        <v>95</v>
      </c>
      <c r="E92" s="42">
        <f>DShaft2/DShaft1</f>
        <v>1.2857142857142858</v>
      </c>
      <c r="F92" s="13"/>
      <c r="G92" s="41" t="s">
        <v>96</v>
      </c>
      <c r="H92" s="32">
        <f>J25</f>
        <v>2.3105304666988787E-2</v>
      </c>
      <c r="J92" s="47"/>
      <c r="K92" s="41" t="s">
        <v>97</v>
      </c>
      <c r="L92" s="30">
        <f>SQRT(SUMSQ(M89:M90))</f>
        <v>614358387.08242762</v>
      </c>
      <c r="M92" s="15"/>
    </row>
    <row r="93" spans="1:13" x14ac:dyDescent="0.25">
      <c r="A93" s="7" t="s">
        <v>98</v>
      </c>
      <c r="B93" s="91">
        <f>$B$13*(B88^2-B88*B90+$B$13*B89)/(B88^2+$B$13^2)</f>
        <v>662296576.66661787</v>
      </c>
      <c r="D93" s="12" t="s">
        <v>99</v>
      </c>
      <c r="E93" s="42">
        <f>E94/DShaft1</f>
        <v>2.8571428571428571E-2</v>
      </c>
      <c r="F93" s="13"/>
      <c r="G93" s="41" t="s">
        <v>100</v>
      </c>
      <c r="H93" s="34">
        <f>J20/10^12</f>
        <v>6.511842410093515E-8</v>
      </c>
      <c r="J93" s="48"/>
      <c r="K93" s="49" t="s">
        <v>101</v>
      </c>
      <c r="L93" s="50">
        <f>ABS(M88)</f>
        <v>11636.314560981762</v>
      </c>
      <c r="M93" s="26"/>
    </row>
    <row r="94" spans="1:13" x14ac:dyDescent="0.25">
      <c r="A94" s="7" t="s">
        <v>102</v>
      </c>
      <c r="B94" s="91">
        <f>-B88/$B$13*(B93)+B88</f>
        <v>230650941.93801776</v>
      </c>
      <c r="D94" s="12" t="s">
        <v>103</v>
      </c>
      <c r="E94" s="40">
        <v>1</v>
      </c>
      <c r="F94" s="13"/>
      <c r="G94" s="41" t="s">
        <v>105</v>
      </c>
      <c r="H94" s="34">
        <f>2*H93</f>
        <v>1.302368482018703E-7</v>
      </c>
    </row>
    <row r="95" spans="1:13" x14ac:dyDescent="0.25">
      <c r="A95" s="7" t="s">
        <v>106</v>
      </c>
      <c r="B95" s="62">
        <f>(B91+B92)/B91</f>
        <v>1.3834383841802145</v>
      </c>
      <c r="D95" s="12" t="s">
        <v>107</v>
      </c>
      <c r="E95" s="40">
        <v>0.92</v>
      </c>
      <c r="F95" s="13"/>
      <c r="G95" s="41" t="s">
        <v>108</v>
      </c>
      <c r="H95" s="34">
        <f>PI()/4*(DShaft1/1000)^2</f>
        <v>9.6211275016187424E-4</v>
      </c>
    </row>
    <row r="96" spans="1:13" x14ac:dyDescent="0.25">
      <c r="D96" s="12" t="s">
        <v>109</v>
      </c>
      <c r="E96" s="42">
        <f>E89</f>
        <v>1</v>
      </c>
      <c r="F96" s="208" t="s">
        <v>110</v>
      </c>
      <c r="G96" s="13"/>
      <c r="H96" s="15"/>
    </row>
    <row r="97" spans="4:8" x14ac:dyDescent="0.25">
      <c r="D97" s="12" t="s">
        <v>111</v>
      </c>
      <c r="E97" s="42">
        <f t="shared" ref="E97" si="6">1+$E$95*(E90-1)</f>
        <v>1.8740000000000001</v>
      </c>
      <c r="F97" s="208"/>
      <c r="G97" s="13"/>
      <c r="H97" s="15"/>
    </row>
    <row r="98" spans="4:8" x14ac:dyDescent="0.25">
      <c r="D98" s="35" t="s">
        <v>112</v>
      </c>
      <c r="E98" s="118">
        <f>E91</f>
        <v>2.8</v>
      </c>
      <c r="F98" s="209" t="s">
        <v>110</v>
      </c>
      <c r="G98" s="25"/>
      <c r="H98" s="26"/>
    </row>
  </sheetData>
  <pageMargins left="0" right="0" top="0" bottom="0" header="0" footer="0"/>
  <pageSetup paperSize="3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24"/>
  <sheetViews>
    <sheetView tabSelected="1" zoomScale="70" zoomScaleNormal="70" workbookViewId="0">
      <selection activeCell="C35" sqref="C35"/>
    </sheetView>
  </sheetViews>
  <sheetFormatPr defaultRowHeight="15" x14ac:dyDescent="0.25"/>
  <cols>
    <col min="1" max="1" width="30" bestFit="1" customWidth="1"/>
    <col min="2" max="2" width="12.5703125" bestFit="1" customWidth="1"/>
    <col min="3" max="3" width="12.85546875" customWidth="1"/>
    <col min="4" max="4" width="65.7109375" bestFit="1" customWidth="1"/>
    <col min="5" max="5" width="11" bestFit="1" customWidth="1"/>
    <col min="6" max="6" width="15.85546875" bestFit="1" customWidth="1"/>
    <col min="7" max="7" width="13.85546875" bestFit="1" customWidth="1"/>
    <col min="8" max="8" width="15.140625" customWidth="1"/>
    <col min="9" max="9" width="24.28515625" customWidth="1"/>
    <col min="10" max="10" width="18" bestFit="1" customWidth="1"/>
    <col min="11" max="11" width="9.42578125" bestFit="1" customWidth="1"/>
    <col min="12" max="12" width="11.85546875" bestFit="1" customWidth="1"/>
    <col min="14" max="14" width="17.85546875" customWidth="1"/>
    <col min="15" max="15" width="12.42578125" bestFit="1" customWidth="1"/>
    <col min="16" max="16" width="12.5703125" customWidth="1"/>
    <col min="18" max="18" width="16" customWidth="1"/>
    <col min="19" max="19" width="13.7109375" customWidth="1"/>
    <col min="20" max="20" width="11.85546875" customWidth="1"/>
    <col min="21" max="21" width="35.140625" customWidth="1"/>
    <col min="22" max="22" width="10.28515625" customWidth="1"/>
    <col min="23" max="23" width="33.28515625" customWidth="1"/>
    <col min="24" max="24" width="9.42578125" customWidth="1"/>
    <col min="25" max="25" width="16.140625" customWidth="1"/>
    <col min="26" max="26" width="13.140625" customWidth="1"/>
    <col min="27" max="27" width="13.28515625" customWidth="1"/>
    <col min="28" max="28" width="9.140625" customWidth="1"/>
    <col min="32" max="32" width="17.28515625" customWidth="1"/>
    <col min="35" max="35" width="32.5703125" customWidth="1"/>
    <col min="39" max="39" width="16.28515625" customWidth="1"/>
    <col min="42" max="42" width="19.28515625" customWidth="1"/>
  </cols>
  <sheetData>
    <row r="1" spans="1:17" ht="20.25" thickBot="1" x14ac:dyDescent="0.35">
      <c r="A1" s="144" t="s">
        <v>120</v>
      </c>
    </row>
    <row r="2" spans="1:17" ht="15.75" thickTop="1" x14ac:dyDescent="0.25">
      <c r="F2" s="7" t="s">
        <v>123</v>
      </c>
      <c r="G2" s="63">
        <f>Gear_density * (PI() / 4 * ( (Dpinion)^2-(DShaft2)^2) ) / (10^6) * F16/1000 * gravity</f>
        <v>7.7759113306203096</v>
      </c>
    </row>
    <row r="3" spans="1:17" x14ac:dyDescent="0.25">
      <c r="A3" s="7" t="s">
        <v>121</v>
      </c>
      <c r="B3" s="63">
        <f>'Input Shaft'!Input_Torque / SQRT(Gear_Ratio)</f>
        <v>458.2027892352819</v>
      </c>
      <c r="C3" s="7" t="s">
        <v>122</v>
      </c>
      <c r="D3" s="3">
        <v>35</v>
      </c>
      <c r="F3" s="7" t="s">
        <v>14</v>
      </c>
      <c r="G3" s="63">
        <f>'Input Shaft'!E4</f>
        <v>135.15170771600029</v>
      </c>
    </row>
    <row r="4" spans="1:17" ht="15.75" thickBot="1" x14ac:dyDescent="0.3">
      <c r="A4" s="7" t="s">
        <v>124</v>
      </c>
      <c r="B4" s="51">
        <f>'Input Shaft'!B4</f>
        <v>300</v>
      </c>
      <c r="C4" s="7" t="s">
        <v>22</v>
      </c>
      <c r="D4" s="3">
        <f>'Input Shaft'!Shoulder_height</f>
        <v>10</v>
      </c>
      <c r="F4" s="7" t="s">
        <v>10</v>
      </c>
      <c r="G4" s="2">
        <f>'Input Shaft'!E3</f>
        <v>58.86</v>
      </c>
      <c r="L4" s="7"/>
    </row>
    <row r="5" spans="1:17" ht="15.75" thickTop="1" x14ac:dyDescent="0.25">
      <c r="A5" s="7" t="s">
        <v>125</v>
      </c>
      <c r="B5" s="63">
        <f>Input_RPM*SQRT(Gear_Ratio)</f>
        <v>134.70808438991327</v>
      </c>
      <c r="C5" s="7" t="s">
        <v>126</v>
      </c>
      <c r="D5" s="64">
        <f>DGear/SQRT(Gear_Ratio)</f>
        <v>84.182029989947054</v>
      </c>
      <c r="G5" s="7"/>
      <c r="L5" s="7"/>
    </row>
    <row r="6" spans="1:17" ht="14.45" customHeight="1" x14ac:dyDescent="0.25">
      <c r="A6" s="77" t="s">
        <v>127</v>
      </c>
      <c r="B6" s="63">
        <f>DGear/SQRT(Gear_Ratio)</f>
        <v>84.182029989947054</v>
      </c>
      <c r="I6" s="7"/>
    </row>
    <row r="7" spans="1:17" ht="17.45" customHeight="1" thickBot="1" x14ac:dyDescent="0.35">
      <c r="A7" s="8" t="s">
        <v>24</v>
      </c>
      <c r="B7" s="124">
        <f>'Input Shaft'!B8</f>
        <v>7850</v>
      </c>
      <c r="D7" s="9" t="s">
        <v>128</v>
      </c>
      <c r="E7" s="54"/>
      <c r="F7" s="54"/>
      <c r="G7" s="54"/>
      <c r="H7" s="54"/>
      <c r="I7" s="54"/>
      <c r="J7" s="54"/>
      <c r="K7" s="54"/>
      <c r="L7" s="82" t="s">
        <v>1</v>
      </c>
      <c r="M7" s="83"/>
      <c r="N7" s="81" t="s">
        <v>2</v>
      </c>
      <c r="O7" s="73"/>
      <c r="P7" s="73"/>
      <c r="Q7" s="74"/>
    </row>
    <row r="8" spans="1:17" ht="16.5" thickTop="1" thickBot="1" x14ac:dyDescent="0.3">
      <c r="A8" s="7" t="s">
        <v>27</v>
      </c>
      <c r="B8" s="125">
        <f>'Input Shaft'!B9</f>
        <v>7850</v>
      </c>
      <c r="D8" s="56" t="s">
        <v>28</v>
      </c>
      <c r="E8">
        <v>1</v>
      </c>
      <c r="F8">
        <v>2</v>
      </c>
      <c r="G8">
        <v>3</v>
      </c>
      <c r="H8">
        <v>4</v>
      </c>
      <c r="I8">
        <v>5</v>
      </c>
      <c r="J8">
        <v>6</v>
      </c>
      <c r="K8" s="72">
        <v>7</v>
      </c>
      <c r="L8" s="11" t="s">
        <v>3</v>
      </c>
      <c r="M8" s="85" t="s">
        <v>4</v>
      </c>
      <c r="N8" s="72" t="s">
        <v>5</v>
      </c>
      <c r="O8" s="13" t="s">
        <v>6</v>
      </c>
      <c r="P8" s="13" t="s">
        <v>7</v>
      </c>
      <c r="Q8" s="72" t="s">
        <v>8</v>
      </c>
    </row>
    <row r="9" spans="1:17" ht="16.5" thickTop="1" thickBot="1" x14ac:dyDescent="0.3">
      <c r="A9" s="7" t="s">
        <v>29</v>
      </c>
      <c r="B9" s="125">
        <f>'Input Shaft'!B10</f>
        <v>9.81</v>
      </c>
      <c r="D9" s="12"/>
      <c r="E9" s="13"/>
      <c r="F9" s="52" t="s">
        <v>129</v>
      </c>
      <c r="G9" s="52"/>
      <c r="H9" s="14"/>
      <c r="I9" s="52"/>
      <c r="J9" s="13" t="s">
        <v>130</v>
      </c>
      <c r="K9" s="72"/>
      <c r="L9" s="116" t="s">
        <v>131</v>
      </c>
      <c r="M9" s="87">
        <f>E16/2+F16/2</f>
        <v>25.4</v>
      </c>
      <c r="N9" s="87" t="s">
        <v>132</v>
      </c>
      <c r="O9" s="69">
        <v>0</v>
      </c>
      <c r="P9" s="110">
        <f>Fg1r+Fg2r-P10</f>
        <v>2510.6508594160937</v>
      </c>
      <c r="Q9" s="111">
        <f>-Q10+Fg2z+WeightG1+WeightShaft+WeightG2-Fgear2</f>
        <v>8229.4784975770563</v>
      </c>
    </row>
    <row r="10" spans="1:17" ht="16.5" thickTop="1" thickBot="1" x14ac:dyDescent="0.3">
      <c r="A10" s="7" t="s">
        <v>31</v>
      </c>
      <c r="B10" s="125">
        <f>'Input Shaft'!B11</f>
        <v>15</v>
      </c>
      <c r="D10" s="12"/>
      <c r="E10" s="13" t="s">
        <v>133</v>
      </c>
      <c r="F10" s="14"/>
      <c r="G10" s="14"/>
      <c r="H10" s="14"/>
      <c r="I10" s="14"/>
      <c r="J10" s="14"/>
      <c r="K10" s="72" t="s">
        <v>134</v>
      </c>
      <c r="L10" s="15" t="s">
        <v>135</v>
      </c>
      <c r="M10" s="72">
        <f>E16/2+F16+H16+J16/2</f>
        <v>105.8</v>
      </c>
      <c r="N10" s="72" t="s">
        <v>136</v>
      </c>
      <c r="O10" s="69">
        <v>0</v>
      </c>
      <c r="P10" s="108">
        <f>(Fg1r*B1G1-Fg1a*Dsg/2+Fg2r*B1G2+Fg2a*DGear/2)/B1B2</f>
        <v>1224.7444983576538</v>
      </c>
      <c r="Q10" s="109">
        <f>(Fgear1*B1G1+WeightG1*B1G1+WeightShaft*B1B2/2-Fgear2*B1G2+WeightG2*B1G2)/B1B2</f>
        <v>-235.38492468458202</v>
      </c>
    </row>
    <row r="11" spans="1:17" ht="16.5" thickTop="1" thickBot="1" x14ac:dyDescent="0.3">
      <c r="A11" s="7" t="s">
        <v>34</v>
      </c>
      <c r="B11" s="125">
        <f>'Input Shaft'!B12</f>
        <v>15</v>
      </c>
      <c r="D11" s="12" t="s">
        <v>35</v>
      </c>
      <c r="E11" s="14"/>
      <c r="F11" s="14"/>
      <c r="G11" s="14"/>
      <c r="H11" s="14"/>
      <c r="I11" s="14"/>
      <c r="J11" s="14"/>
      <c r="K11" s="112"/>
      <c r="L11" s="117" t="s">
        <v>15</v>
      </c>
      <c r="M11" s="71">
        <f>E16/2+F16+H16+J16+K16/2</f>
        <v>131.19999999999999</v>
      </c>
      <c r="N11" s="72" t="s">
        <v>137</v>
      </c>
      <c r="O11" s="107">
        <f>Fgear1*TAN(RADIANS(Helix_Angle))</f>
        <v>2916.8949088052027</v>
      </c>
      <c r="P11" s="108">
        <f>Fgear1*TAN(RADIANS(Pressure_Angle))</f>
        <v>2916.8949088052027</v>
      </c>
      <c r="Q11" s="109">
        <f>Torque/(Dsg/2)*1000</f>
        <v>10886.000000000004</v>
      </c>
    </row>
    <row r="12" spans="1:17" ht="16.5" thickTop="1" thickBot="1" x14ac:dyDescent="0.3">
      <c r="A12" s="7" t="s">
        <v>36</v>
      </c>
      <c r="B12" s="126">
        <f>'Input Shaft'!B13</f>
        <v>1772000000</v>
      </c>
      <c r="D12" s="12"/>
      <c r="E12" s="52"/>
      <c r="F12" s="14"/>
      <c r="G12" s="14"/>
      <c r="H12" s="14"/>
      <c r="I12" s="14"/>
      <c r="J12" s="14"/>
      <c r="K12" s="113"/>
      <c r="N12" s="76" t="s">
        <v>138</v>
      </c>
      <c r="O12" s="107">
        <f>Fgear2*TAN(RADIANS(Helix_Angle))</f>
        <v>818.50044896854479</v>
      </c>
      <c r="P12" s="108">
        <f>Fgear2*TAN(RADIANS(Pressure_Angle))</f>
        <v>818.50044896854479</v>
      </c>
      <c r="Q12" s="109">
        <f>Torque/(DGear/2)*1000</f>
        <v>3054.6852615685461</v>
      </c>
    </row>
    <row r="13" spans="1:17" ht="16.5" thickTop="1" thickBot="1" x14ac:dyDescent="0.3">
      <c r="A13" s="7" t="s">
        <v>37</v>
      </c>
      <c r="B13" s="127">
        <f>'Input Shaft'!B14</f>
        <v>1641000000</v>
      </c>
      <c r="D13" s="12"/>
      <c r="E13" s="13"/>
      <c r="F13" s="52"/>
      <c r="G13" s="52"/>
      <c r="H13" s="14"/>
      <c r="I13" s="52"/>
      <c r="J13" s="13"/>
      <c r="K13" s="72"/>
      <c r="N13" s="76" t="s">
        <v>139</v>
      </c>
      <c r="O13" s="69">
        <v>0</v>
      </c>
      <c r="P13" s="160">
        <v>0</v>
      </c>
      <c r="Q13" s="161">
        <f>G2</f>
        <v>7.7759113306203096</v>
      </c>
    </row>
    <row r="14" spans="1:17" ht="16.5" thickTop="1" thickBot="1" x14ac:dyDescent="0.3">
      <c r="A14" s="7" t="s">
        <v>38</v>
      </c>
      <c r="B14" s="134">
        <f>Bearings!B3</f>
        <v>2460.5639793443147</v>
      </c>
      <c r="D14" s="12" t="s">
        <v>140</v>
      </c>
      <c r="E14" s="17" t="s">
        <v>40</v>
      </c>
      <c r="F14" s="17" t="s">
        <v>41</v>
      </c>
      <c r="G14" s="17" t="s">
        <v>40</v>
      </c>
      <c r="H14" s="17" t="s">
        <v>141</v>
      </c>
      <c r="I14" s="17" t="s">
        <v>40</v>
      </c>
      <c r="J14" s="17" t="s">
        <v>41</v>
      </c>
      <c r="K14" s="114" t="s">
        <v>40</v>
      </c>
      <c r="N14" s="76" t="s">
        <v>142</v>
      </c>
      <c r="O14" s="69">
        <v>0</v>
      </c>
      <c r="P14" s="160">
        <v>0</v>
      </c>
      <c r="Q14" s="161">
        <f>G3</f>
        <v>135.15170771600029</v>
      </c>
    </row>
    <row r="15" spans="1:17" ht="15.75" customHeight="1" thickTop="1" thickBot="1" x14ac:dyDescent="0.3">
      <c r="A15" s="7"/>
      <c r="D15" s="12" t="s">
        <v>143</v>
      </c>
      <c r="E15" s="19">
        <f>Dshaft1</f>
        <v>35</v>
      </c>
      <c r="F15" s="2">
        <f>Dshaft1 +Shoulder_height</f>
        <v>45</v>
      </c>
      <c r="G15" s="51">
        <f>DShaft2</f>
        <v>45</v>
      </c>
      <c r="H15" s="2">
        <f>DShaft2 + 2*Shoulder_height/2</f>
        <v>55</v>
      </c>
      <c r="I15" s="51">
        <f>DShaft2</f>
        <v>45</v>
      </c>
      <c r="J15" s="51">
        <f>DShaft2</f>
        <v>45</v>
      </c>
      <c r="K15" s="115">
        <f>Dshaft1</f>
        <v>35</v>
      </c>
      <c r="N15" s="75" t="s">
        <v>144</v>
      </c>
      <c r="O15" s="69">
        <v>0</v>
      </c>
      <c r="P15" s="3">
        <v>0</v>
      </c>
      <c r="Q15" s="162">
        <f>F26</f>
        <v>19.851215414394826</v>
      </c>
    </row>
    <row r="16" spans="1:17" ht="15.75" customHeight="1" thickTop="1" x14ac:dyDescent="0.25">
      <c r="A16" s="103" t="s">
        <v>77</v>
      </c>
      <c r="D16" s="12" t="s">
        <v>44</v>
      </c>
      <c r="E16" s="21">
        <v>25.4</v>
      </c>
      <c r="F16" s="21">
        <v>25.4</v>
      </c>
      <c r="G16" s="21">
        <v>0</v>
      </c>
      <c r="H16" s="21">
        <v>55</v>
      </c>
      <c r="I16" s="21">
        <v>0</v>
      </c>
      <c r="J16" s="21">
        <v>25.4</v>
      </c>
      <c r="K16" s="22">
        <v>25.4</v>
      </c>
    </row>
    <row r="17" spans="1:14" x14ac:dyDescent="0.25">
      <c r="A17" s="103" t="s">
        <v>81</v>
      </c>
      <c r="D17" s="12" t="s">
        <v>145</v>
      </c>
      <c r="E17" s="21"/>
      <c r="F17" s="21">
        <f>'Input Shaft'!F18</f>
        <v>63</v>
      </c>
      <c r="G17" s="21"/>
      <c r="H17" s="21"/>
      <c r="I17" s="59"/>
      <c r="J17" s="22">
        <f>'Input Shaft'!F18</f>
        <v>63</v>
      </c>
      <c r="K17" s="22"/>
    </row>
    <row r="18" spans="1:14" x14ac:dyDescent="0.25">
      <c r="A18" s="103" t="s">
        <v>86</v>
      </c>
      <c r="D18" s="12" t="s">
        <v>146</v>
      </c>
      <c r="E18" s="21"/>
      <c r="F18" s="21">
        <f>F17*(0.8*F16)</f>
        <v>1280.1600000000001</v>
      </c>
      <c r="G18" s="21"/>
      <c r="H18" s="21"/>
      <c r="I18" s="59"/>
      <c r="J18" s="22">
        <f>J17*(0.8*J16)</f>
        <v>1280.1600000000001</v>
      </c>
      <c r="K18" s="22"/>
    </row>
    <row r="19" spans="1:14" x14ac:dyDescent="0.25">
      <c r="A19" s="103" t="s">
        <v>91</v>
      </c>
      <c r="D19" s="12" t="s">
        <v>50</v>
      </c>
      <c r="E19" s="65">
        <f>PI()/64*(E15^4)</f>
        <v>73661.757434268482</v>
      </c>
      <c r="F19" s="65">
        <f>PI()/64*(F15^4) - (F17^2/12 + F17*(F15/2-3)^2)</f>
        <v>177002.45898635383</v>
      </c>
      <c r="G19" s="65">
        <f>PI()/64*(G15^4)</f>
        <v>201288.95898635383</v>
      </c>
      <c r="H19" s="65">
        <f t="shared" ref="H19" si="0">PI()/64*(H15^4)</f>
        <v>449180.25430867344</v>
      </c>
      <c r="I19" s="65">
        <f>PI()/64*(I15^4)</f>
        <v>201288.95898635383</v>
      </c>
      <c r="J19" s="65">
        <f>PI()/64*(J15^4) - (J17^2/12 + J17*(J15/2-3)^2)</f>
        <v>177002.45898635383</v>
      </c>
      <c r="K19" s="65">
        <f>PI()/64*(K15^4)</f>
        <v>73661.757434268482</v>
      </c>
    </row>
    <row r="20" spans="1:14" x14ac:dyDescent="0.25">
      <c r="A20" s="103" t="s">
        <v>94</v>
      </c>
      <c r="D20" s="12" t="s">
        <v>52</v>
      </c>
      <c r="E20" s="66">
        <f t="shared" ref="E20:K20" si="1">PI()/4*(E15^2)*E16 - E18</f>
        <v>24437.663854111601</v>
      </c>
      <c r="F20" s="66">
        <f t="shared" si="1"/>
        <v>39116.794534347748</v>
      </c>
      <c r="G20" s="66">
        <f t="shared" si="1"/>
        <v>0</v>
      </c>
      <c r="H20" s="66">
        <f t="shared" si="1"/>
        <v>130670.61943525047</v>
      </c>
      <c r="I20" s="66">
        <f t="shared" si="1"/>
        <v>0</v>
      </c>
      <c r="J20" s="66">
        <f t="shared" si="1"/>
        <v>39116.794534347748</v>
      </c>
      <c r="K20" s="67">
        <f t="shared" si="1"/>
        <v>24437.663854111601</v>
      </c>
    </row>
    <row r="21" spans="1:14" x14ac:dyDescent="0.25">
      <c r="A21" s="103" t="s">
        <v>98</v>
      </c>
      <c r="D21" s="12" t="s">
        <v>147</v>
      </c>
      <c r="E21" s="69">
        <f>SQRT(P9^2+Q9^2)</f>
        <v>8603.9342210392279</v>
      </c>
      <c r="F21" s="69">
        <f>SQRT(P11^2+Q11^2)</f>
        <v>11270.016499944168</v>
      </c>
      <c r="G21" s="69">
        <v>0</v>
      </c>
      <c r="H21" s="69">
        <v>0</v>
      </c>
      <c r="I21" s="69">
        <v>0</v>
      </c>
      <c r="J21" s="69">
        <f>SQRT(P12^2+Q12^2)</f>
        <v>3162.4428899516602</v>
      </c>
      <c r="K21" s="69">
        <f>SQRT(O10^2+P10^2+Q10^2)</f>
        <v>1247.1588307132768</v>
      </c>
    </row>
    <row r="22" spans="1:14" x14ac:dyDescent="0.25">
      <c r="A22" s="103"/>
      <c r="D22" s="12" t="s">
        <v>148</v>
      </c>
      <c r="E22" s="63">
        <f t="shared" ref="E22:K22" si="2">E20*Shaft_density*gravity/(10^9)</f>
        <v>1.8819078369093531</v>
      </c>
      <c r="F22" s="63">
        <f t="shared" si="2"/>
        <v>3.0123256718983189</v>
      </c>
      <c r="G22" s="63">
        <f t="shared" si="2"/>
        <v>0</v>
      </c>
      <c r="H22" s="63">
        <f t="shared" si="2"/>
        <v>10.062748396779485</v>
      </c>
      <c r="I22" s="63">
        <f t="shared" si="2"/>
        <v>0</v>
      </c>
      <c r="J22" s="63">
        <f t="shared" si="2"/>
        <v>3.0123256718983189</v>
      </c>
      <c r="K22" s="63">
        <f t="shared" si="2"/>
        <v>1.8819078369093531</v>
      </c>
    </row>
    <row r="23" spans="1:14" x14ac:dyDescent="0.25">
      <c r="A23" s="103" t="s">
        <v>102</v>
      </c>
      <c r="D23" s="106" t="s">
        <v>149</v>
      </c>
      <c r="E23" s="63">
        <f>SUM(E21:E22)</f>
        <v>8605.8161288761366</v>
      </c>
      <c r="F23" s="63">
        <f>SUM(F21:F22)</f>
        <v>11273.028825616066</v>
      </c>
      <c r="G23" s="63">
        <f t="shared" ref="G23:K23" si="3">SUM(G21:G22)</f>
        <v>0</v>
      </c>
      <c r="H23" s="63">
        <f t="shared" si="3"/>
        <v>10.062748396779485</v>
      </c>
      <c r="I23" s="63">
        <f t="shared" si="3"/>
        <v>0</v>
      </c>
      <c r="J23" s="63">
        <f t="shared" si="3"/>
        <v>3165.4552156235586</v>
      </c>
      <c r="K23" s="63">
        <f t="shared" si="3"/>
        <v>1249.040738550186</v>
      </c>
    </row>
    <row r="24" spans="1:14" x14ac:dyDescent="0.25">
      <c r="A24" s="103" t="s">
        <v>106</v>
      </c>
      <c r="D24" s="12" t="s">
        <v>150</v>
      </c>
      <c r="E24" s="65">
        <f>(10^-3) * ( -F23*(F16/2+E16/2) -G23*(SUM(E16:G16)-G16/2-E16/2) - H23*(SUM(E16:H16)-H16/2-E16/2) - I23*(SUM(E16:I16)-I16/2-E16/2) - J23*(SUM(E16:J16)-J16/2-E16/2) - K23*(SUM(E16:K16)-K16/2-E16/2) )</f>
        <v>-785.77435517623371</v>
      </c>
      <c r="F24" s="65">
        <f>(10^-3) * ( E23*(E16/2+F16/2) -G23*(SUM(F16:G16)-G16/2-F16/2) - H23*(SUM(F16:H16)-H16/2-F16/2) - I23*(SUM(F16:I16)-I16/2-F16/2) - J23*(SUM(F16:J16)-J16/2-F16/2) - K23*(SUM(F16:K16)-K16/2-F16/2) )</f>
        <v>-168.46790228684046</v>
      </c>
      <c r="G24" s="65">
        <f>(10^-3) * ( E23*(SUM(E15:G15)-E16/2-G16/2) + F23*(SUM(F16:G16)-F16/2-G16/2) - H23*(SUM(G16:H16)-H16/2-G16/2) - I23*(SUM(G16:I16)-I16/2-G16/2) - J23*(SUM(G16:J16)-J16/2-G16/2) - K23*(SUM(G16:K16)-K16/2-G16/2) )</f>
        <v>778.73688092046552</v>
      </c>
      <c r="H24" s="65">
        <f>(10^-3) * ( E23*(SUM(E15:H15)-E16/2-H16/2) + F23*(SUM(F16:H16)-F16/2-H16/2) + G23*(SUM(G16:H16)-G16/2-H16/2) - I23*(SUM(H16:I16)-I16/2-H16/2) - J23*(SUM(H16:J16)-J16/2-H16/2) - K23*(SUM(H16:K16)-K16/2-H16/2) )</f>
        <v>1447.0804814896906</v>
      </c>
      <c r="I24" s="65">
        <f>(10^-3) * ( E23*(SUM(E15:I15)-E16/2-I16/2) + F23*(SUM(F16:I16)-F16/2-I16/2) + G23*(SUM(G16:I16)-G16/2-I16/2) + H23*(SUM(H16:I16)-H16/2-I16/2) - J23*(SUM(I16:J16)-J16/2-I16/2) - K23*(SUM(I16:K16)-K16/2-I16/2) )</f>
        <v>2502.6858078583423</v>
      </c>
      <c r="J24" s="65">
        <f>(10^-3) * ( E23*(SUM(E15:J15)-E16/2-J16/2) + F23*(SUM(F16:J16)-F16/2-J16/2) + G23*(SUM(G16:J16)-G16/2-J16/2) + H23*(SUM(H16:J16)-H16/2-J16/2) + I23*(SUM(I16:J16)-I16/2-J16/2) - K23*(SUM(I16:J16)-K16/2-J16/2) )</f>
        <v>3011.7386651881857</v>
      </c>
      <c r="K24" s="65">
        <f>(10^-3) * ( E23*(SUM(E15:K15)-E16/2-K16/2) + F23*(SUM(F16:K16)-F16/2-K16/2) + G23*(SUM(G16:K16)-G16/2-K16/2) + H23*(SUM(H16:K16)-H16/2-K16/2) + I23*(SUM(I16:K16)-I16/2-K16/2) + J23*(SUM(J16:K16)-J16/2-K16/2) )</f>
        <v>3679.9353181556153</v>
      </c>
    </row>
    <row r="25" spans="1:14" x14ac:dyDescent="0.25">
      <c r="D25" s="12" t="s">
        <v>58</v>
      </c>
      <c r="E25" s="181">
        <f>(10^-3) * (-E23*E15/2)</f>
        <v>-150.60178225533241</v>
      </c>
      <c r="F25" s="181">
        <f>(10^-3) * ( -E23*(E16/2+F16) -F23*(F16/2) )</f>
        <v>-471.04906059550484</v>
      </c>
      <c r="G25" s="181">
        <f>F25</f>
        <v>-471.04906059550484</v>
      </c>
      <c r="H25" s="181">
        <f>(10^-3) * ( -E23*(E16/2+F16+H16/2) -F23*(F16/2+H16/2) )</f>
        <v>-1017.7172968440404</v>
      </c>
      <c r="I25" s="181">
        <f>J25</f>
        <v>-1564.3855330925762</v>
      </c>
      <c r="J25" s="181">
        <f>(10^-3) * ( -E23*(E16/2+F16+H16) -F23*(F16/2+H16) )</f>
        <v>-1564.3855330925762</v>
      </c>
      <c r="K25" s="181">
        <f>(10^-3) * ( -E23*(E16/2+F16+H16+J16) -F23*(F16/2+H16+J16) -J23*(J16/2) )</f>
        <v>-2109.509476175097</v>
      </c>
    </row>
    <row r="26" spans="1:14" x14ac:dyDescent="0.25">
      <c r="D26" s="24" t="s">
        <v>59</v>
      </c>
      <c r="E26" s="25"/>
      <c r="F26" s="100">
        <f>SUM(E22:K22)</f>
        <v>19.851215414394826</v>
      </c>
      <c r="G26" s="60"/>
      <c r="H26" s="25"/>
      <c r="I26" s="25"/>
      <c r="J26" s="25"/>
      <c r="K26" s="26"/>
    </row>
    <row r="27" spans="1:14" x14ac:dyDescent="0.25">
      <c r="D27" s="7"/>
    </row>
    <row r="28" spans="1:14" ht="18" customHeight="1" x14ac:dyDescent="0.25">
      <c r="A28" s="57" t="s">
        <v>45</v>
      </c>
      <c r="D28" s="4"/>
      <c r="H28" s="4"/>
      <c r="L28" s="4"/>
    </row>
    <row r="29" spans="1:14" ht="16.5" customHeight="1" thickBot="1" x14ac:dyDescent="0.35">
      <c r="A29" s="58" t="s">
        <v>47</v>
      </c>
      <c r="D29" s="9" t="s">
        <v>60</v>
      </c>
      <c r="E29" s="27" t="s">
        <v>61</v>
      </c>
      <c r="F29" s="28" t="s">
        <v>62</v>
      </c>
      <c r="H29" s="9" t="s">
        <v>63</v>
      </c>
      <c r="I29" s="27" t="s">
        <v>61</v>
      </c>
      <c r="J29" s="28" t="s">
        <v>62</v>
      </c>
      <c r="L29" s="9" t="s">
        <v>64</v>
      </c>
      <c r="M29" s="27" t="s">
        <v>61</v>
      </c>
      <c r="N29" s="28" t="s">
        <v>62</v>
      </c>
    </row>
    <row r="30" spans="1:14" ht="16.5" thickTop="1" thickBot="1" x14ac:dyDescent="0.3">
      <c r="A30" s="58" t="s">
        <v>49</v>
      </c>
      <c r="D30" s="29" t="s">
        <v>66</v>
      </c>
      <c r="E30" s="30">
        <f>E31*E32*E33*E34*E35*E36</f>
        <v>264178261.48761478</v>
      </c>
      <c r="F30" s="31">
        <f>F31*F32*F33*F34*F35*F36</f>
        <v>377397516.4108783</v>
      </c>
      <c r="H30" s="29" t="s">
        <v>66</v>
      </c>
      <c r="I30" s="30">
        <f>I31*I32*I33*I34*I35*I36</f>
        <v>257816117.67990917</v>
      </c>
      <c r="J30" s="31">
        <f>J31*J32*J33*J34*J35*J36</f>
        <v>368308739.54272729</v>
      </c>
      <c r="L30" s="29" t="s">
        <v>66</v>
      </c>
      <c r="M30" s="30">
        <f>M31*M32*M33*M34*M35*M36</f>
        <v>252846238.54483023</v>
      </c>
      <c r="N30" s="31">
        <f>N31*N32*N33*N34*N35*N36</f>
        <v>361208912.2069003</v>
      </c>
    </row>
    <row r="31" spans="1:14" x14ac:dyDescent="0.25">
      <c r="A31" s="58" t="s">
        <v>51</v>
      </c>
      <c r="D31" s="12" t="s">
        <v>68</v>
      </c>
      <c r="E31" s="40">
        <v>0.7</v>
      </c>
      <c r="F31" s="128">
        <v>1</v>
      </c>
      <c r="H31" s="12" t="s">
        <v>68</v>
      </c>
      <c r="I31" s="40">
        <v>0.7</v>
      </c>
      <c r="J31" s="128">
        <v>1</v>
      </c>
      <c r="L31" s="12" t="s">
        <v>68</v>
      </c>
      <c r="M31" s="40">
        <v>0.7</v>
      </c>
      <c r="N31" s="128">
        <v>1</v>
      </c>
    </row>
    <row r="32" spans="1:14" x14ac:dyDescent="0.25">
      <c r="A32" s="58" t="s">
        <v>152</v>
      </c>
      <c r="D32" s="12" t="s">
        <v>70</v>
      </c>
      <c r="E32" s="42">
        <f>1.189*(Dshaft1)^(-0.097)</f>
        <v>0.84218451966279351</v>
      </c>
      <c r="F32" s="129">
        <f>1.189*(Dshaft1)^(-0.097)</f>
        <v>0.84218451966279351</v>
      </c>
      <c r="H32" s="12" t="s">
        <v>70</v>
      </c>
      <c r="I32" s="42">
        <f>1.189*(DShaft2)^(-0.097)</f>
        <v>0.82190238518077274</v>
      </c>
      <c r="J32" s="129">
        <f>1.189*(DShaft2)^(-0.097)</f>
        <v>0.82190238518077274</v>
      </c>
      <c r="L32" s="12" t="s">
        <v>70</v>
      </c>
      <c r="M32" s="42">
        <f>1.189*(H15)^(-0.097)</f>
        <v>0.80605870732253693</v>
      </c>
      <c r="N32" s="129">
        <f>1.189*(H15)^(-0.097)</f>
        <v>0.80605870732253693</v>
      </c>
    </row>
    <row r="33" spans="1:14" x14ac:dyDescent="0.25">
      <c r="A33" s="58" t="s">
        <v>153</v>
      </c>
      <c r="D33" s="12" t="s">
        <v>72</v>
      </c>
      <c r="E33" s="42">
        <f>4.51*(B12/10^6)^(-0.265)</f>
        <v>0.62134621442795057</v>
      </c>
      <c r="F33" s="129">
        <f>E33</f>
        <v>0.62134621442795057</v>
      </c>
      <c r="H33" s="12" t="s">
        <v>72</v>
      </c>
      <c r="I33" s="129">
        <f>$E33</f>
        <v>0.62134621442795057</v>
      </c>
      <c r="J33" s="129">
        <f>$E33</f>
        <v>0.62134621442795057</v>
      </c>
      <c r="L33" s="12" t="s">
        <v>72</v>
      </c>
      <c r="M33" s="42">
        <f>$E33</f>
        <v>0.62134621442795057</v>
      </c>
      <c r="N33" s="129">
        <f>$E33</f>
        <v>0.62134621442795057</v>
      </c>
    </row>
    <row r="34" spans="1:14" x14ac:dyDescent="0.25">
      <c r="A34" s="58" t="s">
        <v>154</v>
      </c>
      <c r="D34" s="12" t="s">
        <v>74</v>
      </c>
      <c r="E34" s="40">
        <v>1</v>
      </c>
      <c r="F34" s="128">
        <v>1</v>
      </c>
      <c r="H34" s="12" t="s">
        <v>74</v>
      </c>
      <c r="I34" s="40">
        <v>1</v>
      </c>
      <c r="J34" s="128">
        <v>1</v>
      </c>
      <c r="L34" s="12" t="s">
        <v>74</v>
      </c>
      <c r="M34" s="40">
        <v>1</v>
      </c>
      <c r="N34" s="128">
        <v>1</v>
      </c>
    </row>
    <row r="35" spans="1:14" x14ac:dyDescent="0.25">
      <c r="A35" s="58" t="s">
        <v>155</v>
      </c>
      <c r="D35" s="12" t="s">
        <v>75</v>
      </c>
      <c r="E35" s="40">
        <v>0.81399999999999995</v>
      </c>
      <c r="F35" s="128">
        <v>0.81399999999999995</v>
      </c>
      <c r="H35" s="12" t="s">
        <v>75</v>
      </c>
      <c r="I35" s="40">
        <v>0.81399999999999995</v>
      </c>
      <c r="J35" s="128">
        <v>0.81399999999999995</v>
      </c>
      <c r="L35" s="12" t="s">
        <v>75</v>
      </c>
      <c r="M35" s="40">
        <v>0.81399999999999995</v>
      </c>
      <c r="N35" s="128">
        <v>0.81399999999999995</v>
      </c>
    </row>
    <row r="36" spans="1:14" x14ac:dyDescent="0.25">
      <c r="D36" s="35" t="s">
        <v>76</v>
      </c>
      <c r="E36" s="36">
        <f>B12/2</f>
        <v>886000000</v>
      </c>
      <c r="F36" s="37">
        <f>B12/2</f>
        <v>886000000</v>
      </c>
      <c r="H36" s="35" t="s">
        <v>77</v>
      </c>
      <c r="I36" s="36">
        <f>B12/2</f>
        <v>886000000</v>
      </c>
      <c r="J36" s="37">
        <f>B12/2</f>
        <v>886000000</v>
      </c>
      <c r="L36" s="35" t="s">
        <v>77</v>
      </c>
      <c r="M36" s="36">
        <f>B12/2</f>
        <v>886000000</v>
      </c>
      <c r="N36" s="37">
        <f>B12/2</f>
        <v>886000000</v>
      </c>
    </row>
    <row r="38" spans="1:14" x14ac:dyDescent="0.25">
      <c r="D38" s="4"/>
      <c r="G38" s="4"/>
    </row>
    <row r="39" spans="1:14" ht="18" thickBot="1" x14ac:dyDescent="0.35">
      <c r="A39" s="7" t="s">
        <v>77</v>
      </c>
      <c r="B39" s="6">
        <f>E30</f>
        <v>264178261.48761478</v>
      </c>
      <c r="D39" s="9" t="s">
        <v>156</v>
      </c>
      <c r="E39" s="10"/>
      <c r="F39" s="10"/>
      <c r="G39" s="10"/>
      <c r="H39" s="10"/>
      <c r="I39" s="94" t="s">
        <v>157</v>
      </c>
      <c r="J39" s="101"/>
      <c r="M39" s="1"/>
    </row>
    <row r="40" spans="1:14" x14ac:dyDescent="0.25">
      <c r="A40" s="7" t="s">
        <v>81</v>
      </c>
      <c r="B40" s="6">
        <f>J48</f>
        <v>0</v>
      </c>
      <c r="D40" s="12" t="s">
        <v>82</v>
      </c>
      <c r="E40" s="40">
        <f>0.999682*(E44)^-0.25751</f>
        <v>2.497323675733679</v>
      </c>
      <c r="F40" s="13"/>
      <c r="G40" s="41" t="s">
        <v>83</v>
      </c>
      <c r="H40" s="98">
        <v>0</v>
      </c>
      <c r="I40" s="80" t="s">
        <v>158</v>
      </c>
      <c r="J40" s="122">
        <f>P9*E16/2000</f>
        <v>31.885265914584387</v>
      </c>
    </row>
    <row r="41" spans="1:14" x14ac:dyDescent="0.25">
      <c r="A41" s="7" t="s">
        <v>86</v>
      </c>
      <c r="B41" s="6">
        <f>J49</f>
        <v>55739130.514239922</v>
      </c>
      <c r="D41" s="12" t="s">
        <v>87</v>
      </c>
      <c r="E41" s="40">
        <f>0.97098*(E44)^-0.21796</f>
        <v>2.107440662830514</v>
      </c>
      <c r="F41" s="13"/>
      <c r="G41" s="41" t="s">
        <v>88</v>
      </c>
      <c r="H41" s="98">
        <v>0</v>
      </c>
      <c r="I41" s="80" t="s">
        <v>159</v>
      </c>
      <c r="J41" s="122">
        <f>Frb1z*E16/2000</f>
        <v>104.51437691922861</v>
      </c>
    </row>
    <row r="42" spans="1:14" x14ac:dyDescent="0.25">
      <c r="A42" s="7" t="s">
        <v>91</v>
      </c>
      <c r="B42" s="91">
        <f>SQRT(B41^2+B40^2)</f>
        <v>55739130.514239922</v>
      </c>
      <c r="D42" s="12" t="s">
        <v>92</v>
      </c>
      <c r="E42" s="40">
        <f>0.84897*(E44)^-0.23161</f>
        <v>1.9342559596074758</v>
      </c>
      <c r="F42" s="13"/>
      <c r="G42" s="41" t="s">
        <v>93</v>
      </c>
      <c r="H42" s="98"/>
      <c r="I42" s="80" t="s">
        <v>160</v>
      </c>
      <c r="J42" s="122">
        <f>SQRT(Mz1_^2+My1_^2)*(Dshaft1/2000)/(E19/1000^4)</f>
        <v>25959526.995162006</v>
      </c>
    </row>
    <row r="43" spans="1:14" x14ac:dyDescent="0.25">
      <c r="A43" s="7" t="s">
        <v>94</v>
      </c>
      <c r="B43" s="91">
        <f>SQRT((B40-B44)^2+(B41-B45)^2)</f>
        <v>206160630.41221416</v>
      </c>
      <c r="D43" s="12" t="s">
        <v>95</v>
      </c>
      <c r="E43" s="42">
        <f>DShaft2/Dshaft1</f>
        <v>1.2857142857142858</v>
      </c>
      <c r="F43" s="13"/>
      <c r="G43" s="41" t="s">
        <v>96</v>
      </c>
      <c r="H43" s="98">
        <f>SQRT(SUMSQ(J40:J41))</f>
        <v>109.26996460719818</v>
      </c>
      <c r="I43" s="80" t="s">
        <v>161</v>
      </c>
      <c r="J43" s="122">
        <f>σ_Bending_Max_2*E48</f>
        <v>55739130.514239922</v>
      </c>
    </row>
    <row r="44" spans="1:14" x14ac:dyDescent="0.25">
      <c r="A44" s="7" t="s">
        <v>98</v>
      </c>
      <c r="B44" s="91">
        <f>$B$12*(B39^2-B39*B41+$B$12*B40)/(B39^2+$B$12^2)</f>
        <v>30399439.313836865</v>
      </c>
      <c r="D44" s="12" t="s">
        <v>99</v>
      </c>
      <c r="E44" s="42">
        <f>E45/Dshaft1</f>
        <v>2.8571428571428571E-2</v>
      </c>
      <c r="F44" s="13"/>
      <c r="G44" s="41" t="s">
        <v>100</v>
      </c>
      <c r="H44" s="99">
        <f>E19/10^12</f>
        <v>7.3661757434268478E-8</v>
      </c>
      <c r="I44" s="80" t="s">
        <v>162</v>
      </c>
      <c r="J44" s="122">
        <v>0</v>
      </c>
    </row>
    <row r="45" spans="1:14" x14ac:dyDescent="0.25">
      <c r="A45" s="7" t="s">
        <v>102</v>
      </c>
      <c r="B45" s="91">
        <f>-B39/B12*(B44)+B39</f>
        <v>259646167.22794905</v>
      </c>
      <c r="D45" s="12" t="s">
        <v>103</v>
      </c>
      <c r="E45" s="40">
        <v>1</v>
      </c>
      <c r="F45" s="13"/>
      <c r="G45" s="41" t="s">
        <v>105</v>
      </c>
      <c r="H45" s="99">
        <f>2*H44</f>
        <v>1.4732351486853696E-7</v>
      </c>
      <c r="I45" s="80" t="s">
        <v>163</v>
      </c>
      <c r="J45" s="122">
        <v>0</v>
      </c>
    </row>
    <row r="46" spans="1:14" x14ac:dyDescent="0.25">
      <c r="A46" s="7" t="s">
        <v>106</v>
      </c>
      <c r="B46" s="62">
        <f>(B42+B43)/B42</f>
        <v>4.6986696511088448</v>
      </c>
      <c r="D46" s="12" t="s">
        <v>107</v>
      </c>
      <c r="E46" s="40">
        <v>0.92</v>
      </c>
      <c r="F46" s="13"/>
      <c r="G46" s="41" t="s">
        <v>108</v>
      </c>
      <c r="H46" s="99">
        <f>PI()*(E15/1000/2)^2</f>
        <v>9.6211275016187424E-4</v>
      </c>
      <c r="I46" s="80" t="s">
        <v>84</v>
      </c>
      <c r="J46" s="122">
        <v>0</v>
      </c>
    </row>
    <row r="47" spans="1:14" x14ac:dyDescent="0.25">
      <c r="D47" s="12" t="s">
        <v>109</v>
      </c>
      <c r="E47" s="42">
        <f>E40</f>
        <v>2.497323675733679</v>
      </c>
      <c r="F47" s="208" t="s">
        <v>110</v>
      </c>
      <c r="G47" s="13"/>
      <c r="H47" s="13"/>
      <c r="I47" s="80" t="s">
        <v>85</v>
      </c>
      <c r="J47" s="122">
        <v>0</v>
      </c>
    </row>
    <row r="48" spans="1:14" x14ac:dyDescent="0.25">
      <c r="D48" s="12" t="s">
        <v>111</v>
      </c>
      <c r="E48" s="42">
        <f>1+E46*(E41-1)</f>
        <v>2.0188454098040731</v>
      </c>
      <c r="F48" s="208"/>
      <c r="G48" s="13"/>
      <c r="H48" s="13"/>
      <c r="I48" s="80" t="s">
        <v>164</v>
      </c>
      <c r="J48" s="122">
        <v>0</v>
      </c>
    </row>
    <row r="49" spans="1:10" x14ac:dyDescent="0.25">
      <c r="D49" s="35" t="s">
        <v>112</v>
      </c>
      <c r="E49" s="43">
        <f>E42</f>
        <v>1.9342559596074758</v>
      </c>
      <c r="F49" s="209" t="s">
        <v>110</v>
      </c>
      <c r="G49" s="25"/>
      <c r="H49" s="25"/>
      <c r="I49" s="79" t="s">
        <v>165</v>
      </c>
      <c r="J49" s="92">
        <f>ABS(J43)</f>
        <v>55739130.514239922</v>
      </c>
    </row>
    <row r="50" spans="1:10" x14ac:dyDescent="0.25">
      <c r="C50" s="4"/>
      <c r="J50" s="89"/>
    </row>
    <row r="51" spans="1:10" ht="18" thickBot="1" x14ac:dyDescent="0.35">
      <c r="A51" s="7" t="s">
        <v>77</v>
      </c>
      <c r="B51" s="6">
        <f>J30</f>
        <v>368308739.54272729</v>
      </c>
      <c r="D51" s="9" t="s">
        <v>166</v>
      </c>
      <c r="E51" s="10"/>
      <c r="F51" s="10"/>
      <c r="G51" s="10"/>
      <c r="H51" s="10"/>
      <c r="I51" s="95" t="s">
        <v>157</v>
      </c>
      <c r="J51" s="131"/>
    </row>
    <row r="52" spans="1:10" x14ac:dyDescent="0.25">
      <c r="A52" s="7" t="s">
        <v>81</v>
      </c>
      <c r="B52" s="6">
        <f>J60</f>
        <v>132157821.13637835</v>
      </c>
      <c r="D52" s="12" t="s">
        <v>82</v>
      </c>
      <c r="E52" s="40">
        <v>1</v>
      </c>
      <c r="F52" s="17" t="s">
        <v>115</v>
      </c>
      <c r="G52" s="41" t="s">
        <v>83</v>
      </c>
      <c r="H52" s="98">
        <v>0</v>
      </c>
      <c r="I52" s="80" t="s">
        <v>167</v>
      </c>
      <c r="J52" s="122">
        <f>(Frb1y*(F16+E16)/2-Fg1a*(Dsg/2))/1000</f>
        <v>-59.004535516112952</v>
      </c>
    </row>
    <row r="53" spans="1:10" x14ac:dyDescent="0.25">
      <c r="A53" s="7" t="s">
        <v>86</v>
      </c>
      <c r="B53" s="6">
        <f>J61</f>
        <v>43346773.597612649</v>
      </c>
      <c r="D53" s="12" t="s">
        <v>87</v>
      </c>
      <c r="E53" s="40">
        <v>2.14</v>
      </c>
      <c r="F53" s="17" t="s">
        <v>116</v>
      </c>
      <c r="G53" s="41" t="s">
        <v>88</v>
      </c>
      <c r="H53" s="98">
        <f>Torque</f>
        <v>458.2027892352819</v>
      </c>
      <c r="I53" s="80" t="s">
        <v>168</v>
      </c>
      <c r="J53" s="122">
        <f>-Frb1z*(F16+E16)/2000</f>
        <v>-209.02875383845722</v>
      </c>
    </row>
    <row r="54" spans="1:10" x14ac:dyDescent="0.25">
      <c r="A54" s="7" t="s">
        <v>91</v>
      </c>
      <c r="B54" s="91">
        <f>SQRT(B53^2+B52^2)</f>
        <v>139084982.90195695</v>
      </c>
      <c r="D54" s="12" t="s">
        <v>92</v>
      </c>
      <c r="E54" s="40">
        <v>2.62</v>
      </c>
      <c r="F54" s="17" t="s">
        <v>116</v>
      </c>
      <c r="G54" s="41" t="s">
        <v>93</v>
      </c>
      <c r="H54" s="98"/>
      <c r="I54" s="80" t="s">
        <v>169</v>
      </c>
      <c r="J54" s="122">
        <f>SQRT(Mz2_^2+My2_^2)*(DShaft2/2000)/(F19/1000^4)</f>
        <v>27609409.934785124</v>
      </c>
    </row>
    <row r="55" spans="1:10" x14ac:dyDescent="0.25">
      <c r="A55" s="7" t="s">
        <v>94</v>
      </c>
      <c r="B55" s="91">
        <f>SQRT((B52-B56)^2+(B53-B57)^2)</f>
        <v>291268017.87748659</v>
      </c>
      <c r="D55" s="12" t="s">
        <v>95</v>
      </c>
      <c r="E55" s="42">
        <v>1.33</v>
      </c>
      <c r="F55" s="13"/>
      <c r="G55" s="41" t="s">
        <v>96</v>
      </c>
      <c r="H55" s="98">
        <f>SQRT(SUMSQ(J52:J53))</f>
        <v>217.19704220529931</v>
      </c>
      <c r="I55" s="80" t="s">
        <v>170</v>
      </c>
      <c r="J55" s="122">
        <f>σ_Bending_Max_2*E60</f>
        <v>43346773.597612649</v>
      </c>
    </row>
    <row r="56" spans="1:10" x14ac:dyDescent="0.25">
      <c r="A56" s="7" t="s">
        <v>98</v>
      </c>
      <c r="B56" s="91">
        <f>B12*(B51^2-B51*B53+B12*B52)/(B51^2+B12^2)</f>
        <v>191430840.60511106</v>
      </c>
      <c r="D56" s="12" t="s">
        <v>99</v>
      </c>
      <c r="E56" s="42">
        <f>E57/DShaft2</f>
        <v>2.2222222222222223E-2</v>
      </c>
      <c r="F56" s="13"/>
      <c r="G56" s="41" t="s">
        <v>100</v>
      </c>
      <c r="H56" s="99">
        <f>F19/10^12</f>
        <v>1.7700245898635383E-7</v>
      </c>
      <c r="I56" s="80" t="s">
        <v>171</v>
      </c>
      <c r="J56" s="122">
        <f>H53*DShaft2/2000/H57</f>
        <v>29122654.049084902</v>
      </c>
    </row>
    <row r="57" spans="1:10" x14ac:dyDescent="0.25">
      <c r="A57" s="7" t="s">
        <v>102</v>
      </c>
      <c r="B57" s="91">
        <f>-B51/B12*(B56)+B51</f>
        <v>328519997.09753925</v>
      </c>
      <c r="D57" s="12" t="s">
        <v>103</v>
      </c>
      <c r="E57" s="40">
        <v>1</v>
      </c>
      <c r="F57" s="13"/>
      <c r="G57" s="41" t="s">
        <v>105</v>
      </c>
      <c r="H57" s="99">
        <f>2*H56</f>
        <v>3.5400491797270766E-7</v>
      </c>
      <c r="I57" s="132" t="s">
        <v>172</v>
      </c>
      <c r="J57" s="122">
        <f>J56*E61</f>
        <v>76301353.608602449</v>
      </c>
    </row>
    <row r="58" spans="1:10" x14ac:dyDescent="0.25">
      <c r="A58" s="7" t="s">
        <v>106</v>
      </c>
      <c r="B58" s="62">
        <f>(B54+B55)/B54</f>
        <v>3.0941730142268895</v>
      </c>
      <c r="D58" s="12" t="s">
        <v>107</v>
      </c>
      <c r="E58" s="40">
        <v>0.5</v>
      </c>
      <c r="F58" s="13"/>
      <c r="G58" s="41" t="s">
        <v>108</v>
      </c>
      <c r="H58" s="99">
        <f>PI()*(F15/1000/2)^2</f>
        <v>1.5904312808798326E-3</v>
      </c>
      <c r="I58" s="132" t="s">
        <v>84</v>
      </c>
      <c r="J58" s="122">
        <f>H52*4/(PI()*(DShaft2/1000)^2)</f>
        <v>0</v>
      </c>
    </row>
    <row r="59" spans="1:10" x14ac:dyDescent="0.25">
      <c r="D59" s="12" t="s">
        <v>109</v>
      </c>
      <c r="E59" s="42">
        <f>E52</f>
        <v>1</v>
      </c>
      <c r="F59" s="208" t="s">
        <v>110</v>
      </c>
      <c r="G59" s="13"/>
      <c r="H59" s="13"/>
      <c r="I59" s="132" t="s">
        <v>85</v>
      </c>
      <c r="J59" s="122">
        <f>J58*E59</f>
        <v>0</v>
      </c>
    </row>
    <row r="60" spans="1:10" x14ac:dyDescent="0.25">
      <c r="D60" s="12" t="s">
        <v>111</v>
      </c>
      <c r="E60" s="42">
        <f>1+E58*(E53-1)</f>
        <v>1.57</v>
      </c>
      <c r="F60" s="208"/>
      <c r="G60" s="13"/>
      <c r="H60" s="13"/>
      <c r="I60" s="132" t="s">
        <v>97</v>
      </c>
      <c r="J60" s="122">
        <f>SQRT(J59^2+3*J57^2)</f>
        <v>132157821.13637835</v>
      </c>
    </row>
    <row r="61" spans="1:10" x14ac:dyDescent="0.25">
      <c r="D61" s="35" t="s">
        <v>112</v>
      </c>
      <c r="E61" s="43">
        <f>E54</f>
        <v>2.62</v>
      </c>
      <c r="F61" s="209" t="s">
        <v>110</v>
      </c>
      <c r="G61" s="25"/>
      <c r="H61" s="25"/>
      <c r="I61" s="133" t="s">
        <v>173</v>
      </c>
      <c r="J61" s="92">
        <f>ABS(J55)</f>
        <v>43346773.597612649</v>
      </c>
    </row>
    <row r="62" spans="1:10" x14ac:dyDescent="0.25">
      <c r="C62" s="4"/>
      <c r="J62" s="89"/>
    </row>
    <row r="63" spans="1:10" ht="18" thickBot="1" x14ac:dyDescent="0.35">
      <c r="A63" s="7" t="s">
        <v>77</v>
      </c>
      <c r="B63" s="6">
        <f>J30</f>
        <v>368308739.54272729</v>
      </c>
      <c r="D63" s="9" t="s">
        <v>174</v>
      </c>
      <c r="E63" s="10"/>
      <c r="F63" s="10"/>
      <c r="G63" s="10"/>
      <c r="H63" s="10"/>
      <c r="I63" s="95" t="s">
        <v>157</v>
      </c>
      <c r="J63" s="131"/>
    </row>
    <row r="64" spans="1:10" ht="15.75" thickTop="1" x14ac:dyDescent="0.25">
      <c r="A64" s="7" t="s">
        <v>81</v>
      </c>
      <c r="B64" s="6">
        <f>J72</f>
        <v>90937669.205503166</v>
      </c>
      <c r="D64" s="12" t="s">
        <v>82</v>
      </c>
      <c r="E64" s="40">
        <f>0.99682*(E68)^-0.25751</f>
        <v>2.6566570672493013</v>
      </c>
      <c r="F64" s="13"/>
      <c r="G64" s="41" t="s">
        <v>83</v>
      </c>
      <c r="H64" s="98">
        <v>0</v>
      </c>
      <c r="I64" s="80" t="s">
        <v>175</v>
      </c>
      <c r="J64" s="122">
        <f>(Frb1z*(F16+E16/2)-Fg1r*F16/2-Fg1a*Dsg/2)/1000</f>
        <v>153.72349807057805</v>
      </c>
    </row>
    <row r="65" spans="1:11" x14ac:dyDescent="0.25">
      <c r="A65" s="7" t="s">
        <v>86</v>
      </c>
      <c r="B65" s="6">
        <f>J73</f>
        <v>37950079.381250456</v>
      </c>
      <c r="D65" s="12" t="s">
        <v>87</v>
      </c>
      <c r="E65" s="40">
        <f>0.97098*(E68)^-0.21796</f>
        <v>2.2260990485002936</v>
      </c>
      <c r="F65" s="13"/>
      <c r="G65" s="41" t="s">
        <v>88</v>
      </c>
      <c r="H65" s="98">
        <f>Torque</f>
        <v>458.2027892352819</v>
      </c>
      <c r="I65" s="80" t="s">
        <v>176</v>
      </c>
      <c r="J65" s="122">
        <f>(-Frb1y*(F16+E16/2)+(Fgear1+WeightG1)*F16/2)/1000</f>
        <v>42.69515633014575</v>
      </c>
    </row>
    <row r="66" spans="1:11" x14ac:dyDescent="0.25">
      <c r="A66" s="7" t="s">
        <v>91</v>
      </c>
      <c r="B66" s="91">
        <f>SQRT(B65^2+B64^2)</f>
        <v>98538663.506121948</v>
      </c>
      <c r="D66" s="12" t="s">
        <v>92</v>
      </c>
      <c r="E66" s="40">
        <f>0.84897*(E68)^-0.23161</f>
        <v>2.0501842563786163</v>
      </c>
      <c r="F66" s="13"/>
      <c r="G66" s="41" t="s">
        <v>93</v>
      </c>
      <c r="H66" s="98"/>
      <c r="I66" s="80" t="s">
        <v>177</v>
      </c>
      <c r="J66" s="122">
        <f>SQRT(Mz3_^2+My3_^2)*(DShaft2/2000)/(G19/1000^4)</f>
        <v>17833590.69047273</v>
      </c>
    </row>
    <row r="67" spans="1:11" x14ac:dyDescent="0.25">
      <c r="A67" s="7" t="s">
        <v>94</v>
      </c>
      <c r="B67" s="91">
        <f>SQRT((B64-B68)^2+(B65-B69)^2)</f>
        <v>304940083.84217936</v>
      </c>
      <c r="D67" s="12" t="s">
        <v>95</v>
      </c>
      <c r="E67" s="42">
        <f>(DShaft2 + 2*Shoulder_height)/DShaft2</f>
        <v>1.4444444444444444</v>
      </c>
      <c r="F67" s="13"/>
      <c r="G67" s="41" t="s">
        <v>96</v>
      </c>
      <c r="H67" s="98">
        <f>SQRT(SUMSQ(J64:J65))</f>
        <v>159.54244022551052</v>
      </c>
      <c r="I67" s="80" t="s">
        <v>178</v>
      </c>
      <c r="J67" s="122">
        <f>σ_Bending_Max_3*E72</f>
        <v>37950079.381250456</v>
      </c>
    </row>
    <row r="68" spans="1:11" x14ac:dyDescent="0.25">
      <c r="A68" s="7" t="s">
        <v>98</v>
      </c>
      <c r="B68" s="91">
        <f>B12*(B63^2-B63*B65+B12*B64)/(B63^2+B12^2)</f>
        <v>152992953.05742645</v>
      </c>
      <c r="D68" s="12" t="s">
        <v>99</v>
      </c>
      <c r="E68" s="42">
        <f>E69/DShaft2</f>
        <v>2.2222222222222223E-2</v>
      </c>
      <c r="F68" s="13"/>
      <c r="G68" s="41" t="s">
        <v>100</v>
      </c>
      <c r="H68" s="99">
        <f>G19/10^12</f>
        <v>2.0128895898635383E-7</v>
      </c>
      <c r="I68" s="80" t="s">
        <v>179</v>
      </c>
      <c r="J68" s="122">
        <f>H65*G15/2000/H69</f>
        <v>25608863.023860063</v>
      </c>
    </row>
    <row r="69" spans="1:11" x14ac:dyDescent="0.25">
      <c r="A69" s="7" t="s">
        <v>102</v>
      </c>
      <c r="B69" s="91">
        <f>-B63/B12*(B68)+B63</f>
        <v>336509280.34436363</v>
      </c>
      <c r="D69" s="12" t="s">
        <v>103</v>
      </c>
      <c r="E69" s="40">
        <v>1</v>
      </c>
      <c r="F69" s="13"/>
      <c r="G69" s="41" t="s">
        <v>105</v>
      </c>
      <c r="H69" s="99">
        <f>2*H68</f>
        <v>4.0257791797270766E-7</v>
      </c>
      <c r="I69" s="132" t="s">
        <v>180</v>
      </c>
      <c r="J69" s="122">
        <f>J68*E73</f>
        <v>52502887.795274392</v>
      </c>
    </row>
    <row r="70" spans="1:11" x14ac:dyDescent="0.25">
      <c r="A70" s="7" t="s">
        <v>106</v>
      </c>
      <c r="B70" s="62">
        <f>(B66+B67)/B66</f>
        <v>4.0946237039559019</v>
      </c>
      <c r="D70" s="12" t="s">
        <v>107</v>
      </c>
      <c r="E70" s="40">
        <v>0.92</v>
      </c>
      <c r="F70" s="13"/>
      <c r="G70" s="41" t="s">
        <v>108</v>
      </c>
      <c r="H70" s="99">
        <f>PI()*(G15/1000/2)^2</f>
        <v>1.5904312808798326E-3</v>
      </c>
      <c r="I70" s="132" t="s">
        <v>84</v>
      </c>
      <c r="J70" s="122">
        <f>H64*4/(PI()*(DShaft3/1000)^2)</f>
        <v>0</v>
      </c>
    </row>
    <row r="71" spans="1:11" x14ac:dyDescent="0.25">
      <c r="D71" s="12" t="s">
        <v>109</v>
      </c>
      <c r="E71" s="42">
        <f>E64</f>
        <v>2.6566570672493013</v>
      </c>
      <c r="F71" s="208" t="s">
        <v>110</v>
      </c>
      <c r="G71" s="13"/>
      <c r="H71" s="13"/>
      <c r="I71" s="132" t="s">
        <v>85</v>
      </c>
      <c r="J71" s="122">
        <f>J70*E71</f>
        <v>0</v>
      </c>
    </row>
    <row r="72" spans="1:11" x14ac:dyDescent="0.25">
      <c r="D72" s="12" t="s">
        <v>111</v>
      </c>
      <c r="E72" s="42">
        <f>1+E70*(E65-1)</f>
        <v>2.1280111246202704</v>
      </c>
      <c r="F72" s="208"/>
      <c r="G72" s="13"/>
      <c r="H72" s="13"/>
      <c r="I72" s="132" t="s">
        <v>97</v>
      </c>
      <c r="J72" s="122">
        <f>SQRT(J71^2+3*J69^2)</f>
        <v>90937669.205503166</v>
      </c>
      <c r="K72" s="89"/>
    </row>
    <row r="73" spans="1:11" x14ac:dyDescent="0.25">
      <c r="D73" s="35" t="s">
        <v>112</v>
      </c>
      <c r="E73" s="43">
        <f>E66</f>
        <v>2.0501842563786163</v>
      </c>
      <c r="F73" s="209" t="s">
        <v>110</v>
      </c>
      <c r="G73" s="25"/>
      <c r="H73" s="25"/>
      <c r="I73" s="133" t="s">
        <v>173</v>
      </c>
      <c r="J73" s="92">
        <f>ABS(J67)</f>
        <v>37950079.381250456</v>
      </c>
      <c r="K73" s="89"/>
    </row>
    <row r="74" spans="1:11" x14ac:dyDescent="0.25">
      <c r="C74" s="4"/>
      <c r="J74" s="89"/>
    </row>
    <row r="75" spans="1:11" ht="18" thickBot="1" x14ac:dyDescent="0.35">
      <c r="A75" s="7" t="s">
        <v>77</v>
      </c>
      <c r="B75" s="6">
        <f>N30</f>
        <v>361208912.2069003</v>
      </c>
      <c r="D75" s="9" t="s">
        <v>181</v>
      </c>
      <c r="E75" s="10"/>
      <c r="F75" s="10"/>
      <c r="G75" s="10"/>
      <c r="H75" s="10"/>
      <c r="I75" s="95" t="s">
        <v>157</v>
      </c>
      <c r="J75" s="131"/>
    </row>
    <row r="76" spans="1:11" ht="15.75" thickTop="1" x14ac:dyDescent="0.25">
      <c r="A76" s="7" t="s">
        <v>81</v>
      </c>
      <c r="B76" s="6">
        <f>J84</f>
        <v>24316142.021018881</v>
      </c>
      <c r="D76" s="12" t="s">
        <v>82</v>
      </c>
      <c r="E76" s="40">
        <v>1</v>
      </c>
      <c r="F76" s="13"/>
      <c r="G76" s="41" t="s">
        <v>83</v>
      </c>
      <c r="H76" s="98">
        <v>0</v>
      </c>
      <c r="I76" s="80" t="s">
        <v>182</v>
      </c>
      <c r="J76" s="122">
        <f>(Frb1y*(F16+E16/2+H16/2)-Fg1r*(H16/2+F16/2)-Fg1a*(Dsg/2))/1000</f>
        <v>-75.335546301555155</v>
      </c>
    </row>
    <row r="77" spans="1:11" x14ac:dyDescent="0.25">
      <c r="A77" s="7" t="s">
        <v>86</v>
      </c>
      <c r="B77" s="6">
        <f>J85</f>
        <v>7759578.894158883</v>
      </c>
      <c r="D77" s="12" t="s">
        <v>87</v>
      </c>
      <c r="E77" s="40">
        <v>1</v>
      </c>
      <c r="F77" s="13"/>
      <c r="G77" s="41" t="s">
        <v>88</v>
      </c>
      <c r="H77" s="98">
        <f>Torque</f>
        <v>458.2027892352819</v>
      </c>
      <c r="I77" s="80" t="s">
        <v>183</v>
      </c>
      <c r="J77" s="122">
        <f>(-Frb1z*(H16/2+F16+E16/2)+(Fgear1+WeightG1)*(H16/2+F16/2))/1000</f>
        <v>-101.92399780556367</v>
      </c>
    </row>
    <row r="78" spans="1:11" x14ac:dyDescent="0.25">
      <c r="A78" s="7" t="s">
        <v>91</v>
      </c>
      <c r="B78" s="91">
        <f>SQRT(B77^2+B76^2)</f>
        <v>25524220.407311879</v>
      </c>
      <c r="D78" s="12" t="s">
        <v>92</v>
      </c>
      <c r="E78" s="40">
        <v>1</v>
      </c>
      <c r="F78" s="13"/>
      <c r="G78" s="41" t="s">
        <v>93</v>
      </c>
      <c r="H78" s="98"/>
      <c r="I78" s="80" t="s">
        <v>184</v>
      </c>
      <c r="J78" s="122">
        <f>SQRT(Mz4_^2+My4_^2)*(DShaft3/2000)/(H19/1000^4)</f>
        <v>7759578.894158883</v>
      </c>
    </row>
    <row r="79" spans="1:11" x14ac:dyDescent="0.25">
      <c r="A79" s="7" t="s">
        <v>94</v>
      </c>
      <c r="B79" s="91">
        <f>SQRT((B76-B80)^2+(B77-B81)^2)</f>
        <v>341470521.86382198</v>
      </c>
      <c r="D79" s="12" t="s">
        <v>95</v>
      </c>
      <c r="E79" s="42">
        <v>1</v>
      </c>
      <c r="F79" s="13"/>
      <c r="G79" s="41" t="s">
        <v>96</v>
      </c>
      <c r="H79" s="98">
        <f>SQRT(SUMSQ(J76:J77))</f>
        <v>126.74362258205463</v>
      </c>
      <c r="I79" s="80" t="s">
        <v>185</v>
      </c>
      <c r="J79" s="122">
        <f>σ_Bending_Max_4*E84</f>
        <v>7759578.894158883</v>
      </c>
    </row>
    <row r="80" spans="1:11" x14ac:dyDescent="0.25">
      <c r="A80" s="7" t="s">
        <v>98</v>
      </c>
      <c r="B80" s="91">
        <f>B12*(B75^2-B75*B77+B12*B76)/(B75^2+B12^2)</f>
        <v>92519778.081281349</v>
      </c>
      <c r="D80" s="12" t="s">
        <v>99</v>
      </c>
      <c r="E80" s="42"/>
      <c r="F80" s="13"/>
      <c r="G80" s="41" t="s">
        <v>100</v>
      </c>
      <c r="H80" s="99">
        <f>H19/10^12</f>
        <v>4.4918025430867344E-7</v>
      </c>
      <c r="I80" s="80" t="s">
        <v>186</v>
      </c>
      <c r="J80" s="122">
        <f>H77*DShaft3/2000/H81</f>
        <v>14026191.693759568</v>
      </c>
    </row>
    <row r="81" spans="1:10" x14ac:dyDescent="0.25">
      <c r="A81" s="7" t="s">
        <v>102</v>
      </c>
      <c r="B81" s="91">
        <f>-B75/B12*(B80)+B75</f>
        <v>342349449.22813988</v>
      </c>
      <c r="D81" s="12" t="s">
        <v>103</v>
      </c>
      <c r="E81" s="40">
        <v>0</v>
      </c>
      <c r="F81" s="13"/>
      <c r="G81" s="41" t="s">
        <v>105</v>
      </c>
      <c r="H81" s="99">
        <f>2*H80</f>
        <v>8.9836050861734688E-7</v>
      </c>
      <c r="I81" s="132" t="s">
        <v>187</v>
      </c>
      <c r="J81" s="122">
        <f>J80*E85</f>
        <v>14026191.693759568</v>
      </c>
    </row>
    <row r="82" spans="1:10" x14ac:dyDescent="0.25">
      <c r="A82" s="7" t="s">
        <v>106</v>
      </c>
      <c r="B82" s="62">
        <f>(B78+B79)/B78</f>
        <v>14.378293887714646</v>
      </c>
      <c r="D82" s="12" t="s">
        <v>107</v>
      </c>
      <c r="E82" s="40">
        <v>1</v>
      </c>
      <c r="F82" s="13"/>
      <c r="G82" s="41" t="s">
        <v>108</v>
      </c>
      <c r="H82" s="99">
        <f>PI()*(H15/1000/2)^2</f>
        <v>2.3758294442772811E-3</v>
      </c>
      <c r="I82" s="132" t="s">
        <v>84</v>
      </c>
      <c r="J82" s="122">
        <f>B14/H82</f>
        <v>1035665.2432568911</v>
      </c>
    </row>
    <row r="83" spans="1:10" x14ac:dyDescent="0.25">
      <c r="D83" s="12" t="s">
        <v>109</v>
      </c>
      <c r="E83" s="42">
        <f>1+E82*(E76-1)</f>
        <v>1</v>
      </c>
      <c r="F83" s="208" t="s">
        <v>110</v>
      </c>
      <c r="G83" s="13"/>
      <c r="H83" s="13"/>
      <c r="I83" s="132" t="s">
        <v>85</v>
      </c>
      <c r="J83" s="122">
        <f>J82*E83</f>
        <v>1035665.2432568911</v>
      </c>
    </row>
    <row r="84" spans="1:10" x14ac:dyDescent="0.25">
      <c r="D84" s="12" t="s">
        <v>111</v>
      </c>
      <c r="E84" s="42">
        <f>1+E83*(E77-1)</f>
        <v>1</v>
      </c>
      <c r="F84" s="208"/>
      <c r="G84" s="13"/>
      <c r="H84" s="13"/>
      <c r="I84" s="132" t="s">
        <v>97</v>
      </c>
      <c r="J84" s="122">
        <f>SQRT(J83^2+3*J81^2)</f>
        <v>24316142.021018881</v>
      </c>
    </row>
    <row r="85" spans="1:10" x14ac:dyDescent="0.25">
      <c r="D85" s="35" t="s">
        <v>112</v>
      </c>
      <c r="E85" s="43">
        <f>1+E84*(E78-1)</f>
        <v>1</v>
      </c>
      <c r="F85" s="209" t="s">
        <v>110</v>
      </c>
      <c r="G85" s="25"/>
      <c r="H85" s="25"/>
      <c r="I85" s="133" t="s">
        <v>173</v>
      </c>
      <c r="J85" s="92">
        <f>ABS(J79)</f>
        <v>7759578.894158883</v>
      </c>
    </row>
    <row r="86" spans="1:10" x14ac:dyDescent="0.25">
      <c r="C86" s="4"/>
      <c r="J86" s="89"/>
    </row>
    <row r="87" spans="1:10" ht="18" thickBot="1" x14ac:dyDescent="0.35">
      <c r="A87" s="7" t="s">
        <v>77</v>
      </c>
      <c r="B87" s="6">
        <f>J30</f>
        <v>368308739.54272729</v>
      </c>
      <c r="D87" s="9" t="s">
        <v>188</v>
      </c>
      <c r="E87" s="10"/>
      <c r="F87" s="10"/>
      <c r="G87" s="10"/>
      <c r="H87" s="10"/>
      <c r="I87" s="95" t="s">
        <v>157</v>
      </c>
      <c r="J87" s="131"/>
    </row>
    <row r="88" spans="1:10" ht="15.75" thickTop="1" x14ac:dyDescent="0.25">
      <c r="A88" s="7" t="s">
        <v>81</v>
      </c>
      <c r="B88" s="6">
        <f>J96</f>
        <v>90937669.205503166</v>
      </c>
      <c r="D88" s="12" t="s">
        <v>82</v>
      </c>
      <c r="E88" s="40">
        <f>0.99682*(E92)^-0.25751</f>
        <v>2.6566570672493013</v>
      </c>
      <c r="F88" s="13"/>
      <c r="G88" s="41" t="s">
        <v>83</v>
      </c>
      <c r="H88" s="98">
        <v>0</v>
      </c>
      <c r="I88" s="80" t="s">
        <v>189</v>
      </c>
      <c r="J88" s="122">
        <f>(Fg2r*J16/2+Fg2a*(DGear/2)-Frb2y*(J16+K16/2))/1000</f>
        <v>86.507257659755652</v>
      </c>
    </row>
    <row r="89" spans="1:10" x14ac:dyDescent="0.25">
      <c r="A89" s="7" t="s">
        <v>86</v>
      </c>
      <c r="B89" s="6">
        <f>J97</f>
        <v>21636431.120746706</v>
      </c>
      <c r="D89" s="12" t="s">
        <v>87</v>
      </c>
      <c r="E89" s="40">
        <f>0.97098*(E92)^-0.21796</f>
        <v>2.2260990485002936</v>
      </c>
      <c r="F89" s="13"/>
      <c r="G89" s="41" t="s">
        <v>88</v>
      </c>
      <c r="H89" s="98">
        <f>Torque</f>
        <v>458.2027892352819</v>
      </c>
      <c r="I89" s="80" t="s">
        <v>190</v>
      </c>
      <c r="J89" s="122">
        <f>((Fgear2-WeightG2)*J16/2+Frb2z*(J16+K16/2))/1000</f>
        <v>28.109910503444755</v>
      </c>
    </row>
    <row r="90" spans="1:10" x14ac:dyDescent="0.25">
      <c r="A90" s="7" t="s">
        <v>91</v>
      </c>
      <c r="B90" s="91">
        <f>SQRT(B89^2+B88^2)</f>
        <v>93476172.537028581</v>
      </c>
      <c r="D90" s="12" t="s">
        <v>92</v>
      </c>
      <c r="E90" s="40">
        <f>0.84897*(E92)^-0.23161</f>
        <v>2.0501842563786163</v>
      </c>
      <c r="F90" s="13"/>
      <c r="G90" s="41" t="s">
        <v>93</v>
      </c>
      <c r="H90" s="98"/>
      <c r="I90" s="80" t="s">
        <v>191</v>
      </c>
      <c r="J90" s="122">
        <f>SQRT(Mz5_^2+My5_^2)*(DShaft2/2000)/(I19/1000^4)</f>
        <v>10167442.674721723</v>
      </c>
    </row>
    <row r="91" spans="1:10" x14ac:dyDescent="0.25">
      <c r="A91" s="7" t="s">
        <v>94</v>
      </c>
      <c r="B91" s="91">
        <f>SQRT((B88-B92)^2+(B89-B93)^2)</f>
        <v>320912368.39093685</v>
      </c>
      <c r="D91" s="12" t="s">
        <v>95</v>
      </c>
      <c r="E91" s="42">
        <f>(DShaft2 + 2*Shoulder_height)/DShaft2</f>
        <v>1.4444444444444444</v>
      </c>
      <c r="F91" s="13"/>
      <c r="G91" s="41" t="s">
        <v>96</v>
      </c>
      <c r="H91" s="98">
        <f>SQRT(SUMSQ(J88:J89))</f>
        <v>90.959731179918435</v>
      </c>
      <c r="I91" s="80" t="s">
        <v>192</v>
      </c>
      <c r="J91" s="122">
        <f>σ_Bending_Max_5*E96</f>
        <v>21636431.120746706</v>
      </c>
    </row>
    <row r="92" spans="1:10" x14ac:dyDescent="0.25">
      <c r="A92" s="7" t="s">
        <v>98</v>
      </c>
      <c r="B92" s="91">
        <f>B12*(B87^2-B87*B89+B12*B88)/(B87^2+B12^2)</f>
        <v>156243311.74739718</v>
      </c>
      <c r="D92" s="12" t="s">
        <v>99</v>
      </c>
      <c r="E92" s="42">
        <f>E93/DShaft2</f>
        <v>2.2222222222222223E-2</v>
      </c>
      <c r="F92" s="13"/>
      <c r="G92" s="41" t="s">
        <v>100</v>
      </c>
      <c r="H92" s="99">
        <f>I19/10^12</f>
        <v>2.0128895898635383E-7</v>
      </c>
      <c r="I92" s="80" t="s">
        <v>193</v>
      </c>
      <c r="J92" s="122">
        <f>H89*I15/2000/H93</f>
        <v>25608863.023860063</v>
      </c>
    </row>
    <row r="93" spans="1:10" x14ac:dyDescent="0.25">
      <c r="A93" s="7" t="s">
        <v>102</v>
      </c>
      <c r="B93" s="91">
        <f>-B87/B12*(B92)+B87</f>
        <v>335833695.96955276</v>
      </c>
      <c r="D93" s="12" t="s">
        <v>103</v>
      </c>
      <c r="E93" s="40">
        <v>1</v>
      </c>
      <c r="F93" s="13"/>
      <c r="G93" s="41" t="s">
        <v>105</v>
      </c>
      <c r="H93" s="99">
        <f>2*H92</f>
        <v>4.0257791797270766E-7</v>
      </c>
      <c r="I93" s="132" t="s">
        <v>194</v>
      </c>
      <c r="J93" s="122">
        <f>J92*E97</f>
        <v>52502887.795274392</v>
      </c>
    </row>
    <row r="94" spans="1:10" x14ac:dyDescent="0.25">
      <c r="A94" s="7" t="s">
        <v>106</v>
      </c>
      <c r="B94" s="62">
        <f>(B90+B91)/B90</f>
        <v>4.4330927302764165</v>
      </c>
      <c r="D94" s="12" t="s">
        <v>107</v>
      </c>
      <c r="E94" s="40">
        <v>0.92</v>
      </c>
      <c r="F94" s="13"/>
      <c r="G94" s="41" t="s">
        <v>108</v>
      </c>
      <c r="H94" s="99">
        <f>PI()*(I15/1000/2)^2</f>
        <v>1.5904312808798326E-3</v>
      </c>
      <c r="I94" s="132" t="s">
        <v>84</v>
      </c>
      <c r="J94" s="122">
        <f>H88*4/(PI()*(DShaft3/1000)^2)</f>
        <v>0</v>
      </c>
    </row>
    <row r="95" spans="1:10" x14ac:dyDescent="0.25">
      <c r="D95" s="12" t="s">
        <v>109</v>
      </c>
      <c r="E95" s="42">
        <f>E88</f>
        <v>2.6566570672493013</v>
      </c>
      <c r="F95" s="208" t="s">
        <v>110</v>
      </c>
      <c r="G95" s="13"/>
      <c r="H95" s="13"/>
      <c r="I95" s="132" t="s">
        <v>85</v>
      </c>
      <c r="J95" s="122">
        <f>J94*E95</f>
        <v>0</v>
      </c>
    </row>
    <row r="96" spans="1:10" x14ac:dyDescent="0.25">
      <c r="D96" s="12" t="s">
        <v>111</v>
      </c>
      <c r="E96" s="42">
        <f>1+E94*(E89-1)</f>
        <v>2.1280111246202704</v>
      </c>
      <c r="F96" s="208"/>
      <c r="G96" s="13"/>
      <c r="H96" s="13"/>
      <c r="I96" s="132" t="s">
        <v>97</v>
      </c>
      <c r="J96" s="122">
        <f>SQRT(J95^2+3*J93^2)</f>
        <v>90937669.205503166</v>
      </c>
    </row>
    <row r="97" spans="1:10" x14ac:dyDescent="0.25">
      <c r="D97" s="35" t="s">
        <v>112</v>
      </c>
      <c r="E97" s="43">
        <f>E90</f>
        <v>2.0501842563786163</v>
      </c>
      <c r="F97" s="209" t="s">
        <v>110</v>
      </c>
      <c r="G97" s="25"/>
      <c r="H97" s="25"/>
      <c r="I97" s="133" t="s">
        <v>173</v>
      </c>
      <c r="J97" s="92">
        <f>ABS(J91)</f>
        <v>21636431.120746706</v>
      </c>
    </row>
    <row r="98" spans="1:10" x14ac:dyDescent="0.25">
      <c r="C98" s="4"/>
      <c r="J98" s="89"/>
    </row>
    <row r="99" spans="1:10" ht="18" thickBot="1" x14ac:dyDescent="0.35">
      <c r="A99" s="7" t="s">
        <v>77</v>
      </c>
      <c r="B99" s="6">
        <f>J30</f>
        <v>368308739.54272729</v>
      </c>
      <c r="D99" s="9" t="s">
        <v>195</v>
      </c>
      <c r="E99" s="10"/>
      <c r="F99" s="10"/>
      <c r="G99" s="10"/>
      <c r="H99" s="10"/>
      <c r="I99" s="95" t="s">
        <v>157</v>
      </c>
      <c r="J99" s="131"/>
    </row>
    <row r="100" spans="1:10" x14ac:dyDescent="0.25">
      <c r="A100" s="7" t="s">
        <v>81</v>
      </c>
      <c r="B100" s="6">
        <f>J108</f>
        <v>132157821.13637835</v>
      </c>
      <c r="D100" s="12" t="s">
        <v>82</v>
      </c>
      <c r="E100" s="40">
        <v>1</v>
      </c>
      <c r="F100" s="17" t="s">
        <v>115</v>
      </c>
      <c r="G100" s="41" t="s">
        <v>83</v>
      </c>
      <c r="H100" s="98">
        <v>0</v>
      </c>
      <c r="I100" s="80" t="s">
        <v>196</v>
      </c>
      <c r="J100" s="122">
        <f>(Fg2a*(DGear/2)-Frb2y*(J16+K16)/2)/1000</f>
        <v>91.666557086997315</v>
      </c>
    </row>
    <row r="101" spans="1:10" x14ac:dyDescent="0.25">
      <c r="A101" s="7" t="s">
        <v>86</v>
      </c>
      <c r="B101" s="6">
        <f>J109</f>
        <v>18333086.486144837</v>
      </c>
      <c r="D101" s="12" t="s">
        <v>87</v>
      </c>
      <c r="E101" s="40">
        <v>2.14</v>
      </c>
      <c r="F101" s="17" t="s">
        <v>116</v>
      </c>
      <c r="G101" s="41" t="s">
        <v>88</v>
      </c>
      <c r="H101" s="98">
        <f>Torque</f>
        <v>458.2027892352819</v>
      </c>
      <c r="I101" s="80" t="s">
        <v>197</v>
      </c>
      <c r="J101" s="122">
        <f>Frb2z*(J16+K16)/2000</f>
        <v>-5.9787770869883827</v>
      </c>
    </row>
    <row r="102" spans="1:10" x14ac:dyDescent="0.25">
      <c r="A102" s="7" t="s">
        <v>91</v>
      </c>
      <c r="B102" s="91">
        <f>SQRT(B101^2+B100^2)</f>
        <v>133423355.33040473</v>
      </c>
      <c r="D102" s="12" t="s">
        <v>92</v>
      </c>
      <c r="E102" s="40">
        <v>2.62</v>
      </c>
      <c r="F102" s="17" t="s">
        <v>116</v>
      </c>
      <c r="G102" s="41" t="s">
        <v>93</v>
      </c>
      <c r="H102" s="98"/>
      <c r="I102" s="80" t="s">
        <v>198</v>
      </c>
      <c r="J102" s="122">
        <f>SQRT(Mz6_^2+My6_^2)*(DShaft2/2000)/(J19/1000^4)</f>
        <v>11677125.150410725</v>
      </c>
    </row>
    <row r="103" spans="1:10" x14ac:dyDescent="0.25">
      <c r="A103" s="7" t="s">
        <v>94</v>
      </c>
      <c r="B103" s="91">
        <f>SQRT((B100-B104)^2+(B101-B105)^2)</f>
        <v>315758292.63259625</v>
      </c>
      <c r="D103" s="12" t="s">
        <v>95</v>
      </c>
      <c r="E103" s="42">
        <f>DShaft2/Dshaft1</f>
        <v>1.2857142857142858</v>
      </c>
      <c r="F103" s="13"/>
      <c r="G103" s="41" t="s">
        <v>96</v>
      </c>
      <c r="H103" s="98">
        <f>SQRT(SUMSQ(J100:J101))</f>
        <v>91.861327356182017</v>
      </c>
      <c r="I103" s="80" t="s">
        <v>199</v>
      </c>
      <c r="J103" s="122">
        <f>σ_Bending_Max_6*E108</f>
        <v>18333086.486144837</v>
      </c>
    </row>
    <row r="104" spans="1:10" x14ac:dyDescent="0.25">
      <c r="A104" s="7" t="s">
        <v>98</v>
      </c>
      <c r="B104" s="91">
        <f>B12*(B99^2-B99*B101+B12*B100)/(B99^2+B12^2)</f>
        <v>196414609.65374318</v>
      </c>
      <c r="D104" s="12" t="s">
        <v>99</v>
      </c>
      <c r="E104" s="42">
        <f>E105/DShaft2</f>
        <v>2.2222222222222223E-2</v>
      </c>
      <c r="F104" s="13"/>
      <c r="G104" s="41" t="s">
        <v>100</v>
      </c>
      <c r="H104" s="99">
        <f>J19/10^12</f>
        <v>1.7700245898635383E-7</v>
      </c>
      <c r="I104" s="80" t="s">
        <v>200</v>
      </c>
      <c r="J104" s="122">
        <f>H101*J15/2000/H105</f>
        <v>29122654.049084902</v>
      </c>
    </row>
    <row r="105" spans="1:10" x14ac:dyDescent="0.25">
      <c r="A105" s="7" t="s">
        <v>102</v>
      </c>
      <c r="B105" s="91">
        <f>-B99/B12*(B104)+B99</f>
        <v>327484124.80833286</v>
      </c>
      <c r="D105" s="12" t="s">
        <v>103</v>
      </c>
      <c r="E105" s="40">
        <v>1</v>
      </c>
      <c r="F105" s="13"/>
      <c r="G105" s="41" t="s">
        <v>105</v>
      </c>
      <c r="H105" s="99">
        <f>2*H104</f>
        <v>3.5400491797270766E-7</v>
      </c>
      <c r="I105" s="132" t="s">
        <v>201</v>
      </c>
      <c r="J105" s="122">
        <f>J104*E109</f>
        <v>76301353.608602449</v>
      </c>
    </row>
    <row r="106" spans="1:10" x14ac:dyDescent="0.25">
      <c r="A106" s="7" t="s">
        <v>106</v>
      </c>
      <c r="B106" s="62">
        <f>(B102+B103)/B102</f>
        <v>3.3665893564935763</v>
      </c>
      <c r="D106" s="12" t="s">
        <v>107</v>
      </c>
      <c r="E106" s="40">
        <v>0.5</v>
      </c>
      <c r="F106" s="13"/>
      <c r="G106" s="41" t="s">
        <v>108</v>
      </c>
      <c r="H106" s="99">
        <f>PI()*(J15/1000/2)^2</f>
        <v>1.5904312808798326E-3</v>
      </c>
      <c r="I106" s="132" t="s">
        <v>84</v>
      </c>
      <c r="J106" s="122">
        <f>H100*4/(PI()*(J15/1000)^2)</f>
        <v>0</v>
      </c>
    </row>
    <row r="107" spans="1:10" x14ac:dyDescent="0.25">
      <c r="D107" s="12" t="s">
        <v>109</v>
      </c>
      <c r="E107" s="121">
        <f>E100</f>
        <v>1</v>
      </c>
      <c r="F107" s="208" t="s">
        <v>110</v>
      </c>
      <c r="G107" s="13"/>
      <c r="H107" s="13"/>
      <c r="I107" s="132" t="s">
        <v>85</v>
      </c>
      <c r="J107" s="122">
        <f>J106*E107</f>
        <v>0</v>
      </c>
    </row>
    <row r="108" spans="1:10" x14ac:dyDescent="0.25">
      <c r="D108" s="12" t="s">
        <v>111</v>
      </c>
      <c r="E108" s="119">
        <f>1+E106*(E101-1)</f>
        <v>1.57</v>
      </c>
      <c r="F108" s="208"/>
      <c r="G108" s="13"/>
      <c r="H108" s="13"/>
      <c r="I108" s="132" t="s">
        <v>97</v>
      </c>
      <c r="J108" s="122">
        <f>SQRT(J107^2+3*J105^2)</f>
        <v>132157821.13637835</v>
      </c>
    </row>
    <row r="109" spans="1:10" x14ac:dyDescent="0.25">
      <c r="D109" s="35" t="s">
        <v>112</v>
      </c>
      <c r="E109" s="120">
        <f>E102</f>
        <v>2.62</v>
      </c>
      <c r="F109" s="209" t="s">
        <v>110</v>
      </c>
      <c r="G109" s="25"/>
      <c r="H109" s="25"/>
      <c r="I109" s="133" t="s">
        <v>173</v>
      </c>
      <c r="J109" s="92">
        <f>ABS(J103)</f>
        <v>18333086.486144837</v>
      </c>
    </row>
    <row r="110" spans="1:10" x14ac:dyDescent="0.25">
      <c r="C110" s="4"/>
      <c r="J110" s="89"/>
    </row>
    <row r="111" spans="1:10" ht="18" thickBot="1" x14ac:dyDescent="0.35">
      <c r="A111" s="7" t="s">
        <v>77</v>
      </c>
      <c r="B111" s="6">
        <f>E30</f>
        <v>264178261.48761478</v>
      </c>
      <c r="D111" s="9" t="s">
        <v>202</v>
      </c>
      <c r="E111" s="10"/>
      <c r="F111" s="10"/>
      <c r="G111" s="10"/>
      <c r="H111" s="10"/>
      <c r="I111" s="95" t="s">
        <v>157</v>
      </c>
      <c r="J111" s="131"/>
    </row>
    <row r="112" spans="1:10" ht="15.75" thickTop="1" x14ac:dyDescent="0.25">
      <c r="A112" s="7" t="s">
        <v>81</v>
      </c>
      <c r="B112" s="6">
        <v>0</v>
      </c>
      <c r="D112" s="12" t="s">
        <v>82</v>
      </c>
      <c r="E112" s="40">
        <f>0.999682*(E116)^-0.25751</f>
        <v>2.497323675733679</v>
      </c>
      <c r="F112" s="13"/>
      <c r="G112" s="41" t="s">
        <v>83</v>
      </c>
      <c r="H112" s="98">
        <v>0</v>
      </c>
      <c r="I112" s="80" t="s">
        <v>203</v>
      </c>
      <c r="J112" s="122">
        <f>-Frb2y*K16/2000</f>
        <v>-15.554255129142202</v>
      </c>
    </row>
    <row r="113" spans="1:10" x14ac:dyDescent="0.25">
      <c r="A113" s="7" t="s">
        <v>86</v>
      </c>
      <c r="B113" s="6">
        <f>J121</f>
        <v>7596692.0994376475</v>
      </c>
      <c r="D113" s="12" t="s">
        <v>87</v>
      </c>
      <c r="E113" s="40">
        <f>0.97098*(E116)^-0.21796</f>
        <v>2.107440662830514</v>
      </c>
      <c r="F113" s="13"/>
      <c r="G113" s="41" t="s">
        <v>88</v>
      </c>
      <c r="H113" s="98">
        <f>0</f>
        <v>0</v>
      </c>
      <c r="I113" s="80" t="s">
        <v>204</v>
      </c>
      <c r="J113" s="122">
        <f>Frb2z*K16/2000</f>
        <v>-2.9893885434941914</v>
      </c>
    </row>
    <row r="114" spans="1:10" x14ac:dyDescent="0.25">
      <c r="A114" s="7" t="s">
        <v>91</v>
      </c>
      <c r="B114" s="91">
        <f>SQRT(B113^2+B112^2)</f>
        <v>7596692.0994376475</v>
      </c>
      <c r="D114" s="12" t="s">
        <v>92</v>
      </c>
      <c r="E114" s="40">
        <f>0.84897*(E116)^-0.23161</f>
        <v>1.9342559596074758</v>
      </c>
      <c r="F114" s="13"/>
      <c r="G114" s="41" t="s">
        <v>93</v>
      </c>
      <c r="H114" s="98"/>
      <c r="I114" s="80" t="s">
        <v>205</v>
      </c>
      <c r="J114" s="122">
        <f>SQRT(Mz7_^2+My7_^2)*(Dshaft1/2000)/(K19/1000^4)</f>
        <v>3762889.4528258597</v>
      </c>
    </row>
    <row r="115" spans="1:10" x14ac:dyDescent="0.25">
      <c r="A115" s="7" t="s">
        <v>94</v>
      </c>
      <c r="B115" s="91">
        <f>SQRT((B112-B116)^2+(B113-B117)^2)</f>
        <v>253776811.72533154</v>
      </c>
      <c r="D115" s="12" t="s">
        <v>95</v>
      </c>
      <c r="E115" s="42">
        <f>DShaft2/Dshaft1</f>
        <v>1.2857142857142858</v>
      </c>
      <c r="F115" s="13"/>
      <c r="G115" s="41" t="s">
        <v>96</v>
      </c>
      <c r="H115" s="98">
        <f>SQRT(SUMSQ(J112:J113))</f>
        <v>15.838917150058611</v>
      </c>
      <c r="I115" s="80" t="s">
        <v>206</v>
      </c>
      <c r="J115" s="122">
        <f>σ_Bending_Max_7*E120</f>
        <v>7596692.0994376475</v>
      </c>
    </row>
    <row r="116" spans="1:10" x14ac:dyDescent="0.25">
      <c r="A116" s="7" t="s">
        <v>98</v>
      </c>
      <c r="B116" s="91">
        <f>B12*(B111^2-B111*B113+B12*B112)/(B111^2+B12^2)</f>
        <v>37420688.770100676</v>
      </c>
      <c r="D116" s="12" t="s">
        <v>99</v>
      </c>
      <c r="E116" s="42">
        <f>E117/Dshaft1</f>
        <v>2.8571428571428571E-2</v>
      </c>
      <c r="F116" s="13"/>
      <c r="G116" s="41" t="s">
        <v>100</v>
      </c>
      <c r="H116" s="99">
        <f>K19/10^12</f>
        <v>7.3661757434268478E-8</v>
      </c>
      <c r="I116" s="80" t="s">
        <v>207</v>
      </c>
      <c r="J116" s="122">
        <f>H113*K15/2000/H117</f>
        <v>0</v>
      </c>
    </row>
    <row r="117" spans="1:10" x14ac:dyDescent="0.25">
      <c r="A117" s="7" t="s">
        <v>102</v>
      </c>
      <c r="B117" s="91">
        <f>-(B111/B12)*B116+B111</f>
        <v>258599405.67330649</v>
      </c>
      <c r="D117" s="12" t="s">
        <v>103</v>
      </c>
      <c r="E117" s="40">
        <v>1</v>
      </c>
      <c r="F117" s="13"/>
      <c r="G117" s="41" t="s">
        <v>105</v>
      </c>
      <c r="H117" s="99">
        <f>2*H116</f>
        <v>1.4732351486853696E-7</v>
      </c>
      <c r="I117" s="132" t="s">
        <v>208</v>
      </c>
      <c r="J117" s="122">
        <f>J116*E121</f>
        <v>0</v>
      </c>
    </row>
    <row r="118" spans="1:10" x14ac:dyDescent="0.25">
      <c r="A118" s="7" t="s">
        <v>106</v>
      </c>
      <c r="B118" s="62">
        <f>(B114+B115)/B114</f>
        <v>34.406225815591185</v>
      </c>
      <c r="D118" s="12" t="s">
        <v>107</v>
      </c>
      <c r="E118" s="40">
        <v>0.92</v>
      </c>
      <c r="F118" s="13"/>
      <c r="G118" s="41" t="s">
        <v>108</v>
      </c>
      <c r="H118" s="99">
        <f>PI()*(K15/1000/2)^2</f>
        <v>9.6211275016187424E-4</v>
      </c>
      <c r="I118" s="132" t="s">
        <v>84</v>
      </c>
      <c r="J118" s="122">
        <f>H112*4/(PI()*(K15/1000)^2)</f>
        <v>0</v>
      </c>
    </row>
    <row r="119" spans="1:10" x14ac:dyDescent="0.25">
      <c r="D119" s="12" t="s">
        <v>109</v>
      </c>
      <c r="E119" s="42">
        <f>E112</f>
        <v>2.497323675733679</v>
      </c>
      <c r="F119" s="208" t="s">
        <v>110</v>
      </c>
      <c r="G119" s="13"/>
      <c r="H119" s="13"/>
      <c r="I119" s="132" t="s">
        <v>85</v>
      </c>
      <c r="J119" s="122">
        <f>J118*E119</f>
        <v>0</v>
      </c>
    </row>
    <row r="120" spans="1:10" x14ac:dyDescent="0.25">
      <c r="D120" s="12" t="s">
        <v>111</v>
      </c>
      <c r="E120" s="42">
        <f>1+E118*(E113-1)</f>
        <v>2.0188454098040731</v>
      </c>
      <c r="F120" s="208"/>
      <c r="G120" s="13"/>
      <c r="H120" s="13"/>
      <c r="I120" s="132" t="s">
        <v>97</v>
      </c>
      <c r="J120" s="122">
        <f>SQRT(J119^2+3*J117^2)</f>
        <v>0</v>
      </c>
    </row>
    <row r="121" spans="1:10" x14ac:dyDescent="0.25">
      <c r="D121" s="35" t="s">
        <v>112</v>
      </c>
      <c r="E121" s="43">
        <f>E114</f>
        <v>1.9342559596074758</v>
      </c>
      <c r="F121" s="209" t="s">
        <v>110</v>
      </c>
      <c r="G121" s="25"/>
      <c r="H121" s="25"/>
      <c r="I121" s="133" t="s">
        <v>173</v>
      </c>
      <c r="J121" s="92">
        <f>ABS(J115)</f>
        <v>7596692.0994376475</v>
      </c>
    </row>
    <row r="124" spans="1:10" x14ac:dyDescent="0.25">
      <c r="A124" s="89"/>
    </row>
  </sheetData>
  <pageMargins left="0" right="0" top="0" bottom="0" header="0" footer="0"/>
  <pageSetup paperSize="3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81EA7-0271-46FB-BDD9-80209BFF304B}">
  <sheetPr>
    <pageSetUpPr fitToPage="1"/>
  </sheetPr>
  <dimension ref="A1:P40"/>
  <sheetViews>
    <sheetView tabSelected="1" workbookViewId="0">
      <selection activeCell="C35" sqref="C35"/>
    </sheetView>
  </sheetViews>
  <sheetFormatPr defaultRowHeight="15" x14ac:dyDescent="0.25"/>
  <cols>
    <col min="1" max="1" width="30" bestFit="1" customWidth="1"/>
    <col min="2" max="2" width="10.140625" bestFit="1" customWidth="1"/>
    <col min="5" max="5" width="16.7109375" bestFit="1" customWidth="1"/>
    <col min="7" max="7" width="25" bestFit="1" customWidth="1"/>
  </cols>
  <sheetData>
    <row r="1" spans="1:16" ht="20.25" thickBot="1" x14ac:dyDescent="0.35">
      <c r="A1" s="144" t="s">
        <v>209</v>
      </c>
    </row>
    <row r="2" spans="1:16" ht="18.75" thickTop="1" thickBot="1" x14ac:dyDescent="0.35">
      <c r="A2" s="7" t="s">
        <v>9</v>
      </c>
      <c r="B2" s="135">
        <f>J4*B14/1000</f>
        <v>117.12282433383938</v>
      </c>
      <c r="D2" s="158" t="s">
        <v>1</v>
      </c>
      <c r="E2" s="158"/>
      <c r="G2" s="158" t="s">
        <v>2</v>
      </c>
      <c r="H2" s="158"/>
      <c r="I2" s="158"/>
      <c r="J2" s="158"/>
      <c r="K2" s="171"/>
      <c r="L2" s="171"/>
      <c r="M2" s="171"/>
      <c r="N2" s="171"/>
      <c r="O2" s="171"/>
      <c r="P2" s="171"/>
    </row>
    <row r="3" spans="1:16" ht="15.75" thickTop="1" x14ac:dyDescent="0.25">
      <c r="A3" s="7" t="s">
        <v>13</v>
      </c>
      <c r="B3" s="135">
        <f>'Input Shaft'!B4</f>
        <v>300</v>
      </c>
      <c r="D3" s="85" t="s">
        <v>3</v>
      </c>
      <c r="E3" s="85" t="s">
        <v>4</v>
      </c>
      <c r="G3" s="88" t="s">
        <v>5</v>
      </c>
      <c r="H3" s="90" t="s">
        <v>6</v>
      </c>
      <c r="I3" s="90" t="s">
        <v>7</v>
      </c>
      <c r="J3" s="87" t="s">
        <v>8</v>
      </c>
      <c r="K3" s="171"/>
      <c r="L3" s="171"/>
      <c r="M3" s="171"/>
      <c r="N3" s="171"/>
      <c r="O3" s="171"/>
      <c r="P3" s="171"/>
    </row>
    <row r="4" spans="1:16" x14ac:dyDescent="0.25">
      <c r="A4" s="7" t="s">
        <v>125</v>
      </c>
      <c r="B4" s="135">
        <f>Input_RPM*Gear_Ratio</f>
        <v>480.05999999999995</v>
      </c>
      <c r="D4" s="86" t="s">
        <v>11</v>
      </c>
      <c r="E4" s="3">
        <v>80</v>
      </c>
      <c r="G4" s="80" t="s">
        <v>12</v>
      </c>
      <c r="H4" s="170">
        <v>0</v>
      </c>
      <c r="I4" s="170">
        <v>0</v>
      </c>
      <c r="J4" s="168">
        <f>Torque/(DGear/2)*1000</f>
        <v>1391.304347826087</v>
      </c>
      <c r="K4" s="171"/>
      <c r="L4" s="171"/>
      <c r="M4" s="171"/>
      <c r="N4" s="171"/>
      <c r="O4" s="171"/>
      <c r="P4" s="171"/>
    </row>
    <row r="5" spans="1:16" x14ac:dyDescent="0.25">
      <c r="A5" s="7" t="s">
        <v>20</v>
      </c>
      <c r="B5" s="135">
        <f>'Input Shaft'!B6</f>
        <v>12.7</v>
      </c>
      <c r="D5" s="80" t="s">
        <v>15</v>
      </c>
      <c r="E5" s="3">
        <v>115</v>
      </c>
      <c r="G5" s="80" t="s">
        <v>16</v>
      </c>
      <c r="H5" s="168">
        <f>J4*TAN(RADIANS(B9))</f>
        <v>372.79887642590984</v>
      </c>
      <c r="I5" s="170">
        <v>0</v>
      </c>
      <c r="J5" s="170">
        <v>0</v>
      </c>
      <c r="K5" s="171"/>
      <c r="L5" s="171"/>
      <c r="M5" s="171"/>
      <c r="N5" s="171"/>
      <c r="O5" s="171"/>
      <c r="P5" s="171"/>
    </row>
    <row r="6" spans="1:16" x14ac:dyDescent="0.25">
      <c r="A6" s="8" t="s">
        <v>24</v>
      </c>
      <c r="B6" s="135">
        <f>'Input Shaft'!B8</f>
        <v>7850</v>
      </c>
      <c r="D6" s="79" t="s">
        <v>18</v>
      </c>
      <c r="E6" s="3">
        <v>0</v>
      </c>
      <c r="G6" s="80" t="s">
        <v>19</v>
      </c>
      <c r="H6" s="170">
        <v>0</v>
      </c>
      <c r="I6" s="168">
        <f>J4*TAN(RADIANS(B10))</f>
        <v>372.79887642590984</v>
      </c>
      <c r="J6" s="170">
        <v>0</v>
      </c>
      <c r="K6" s="171"/>
      <c r="L6" s="171"/>
      <c r="M6" s="171"/>
      <c r="N6" s="171"/>
      <c r="O6" s="171"/>
      <c r="P6" s="171"/>
    </row>
    <row r="7" spans="1:16" x14ac:dyDescent="0.25">
      <c r="A7" s="7" t="s">
        <v>27</v>
      </c>
      <c r="B7" s="135">
        <f>'Input Shaft'!B9</f>
        <v>7850</v>
      </c>
      <c r="D7" s="13"/>
      <c r="E7" s="13"/>
      <c r="G7" s="80" t="s">
        <v>21</v>
      </c>
      <c r="H7" s="170">
        <v>0</v>
      </c>
      <c r="I7" s="170">
        <v>0</v>
      </c>
      <c r="J7" s="170">
        <v>0</v>
      </c>
      <c r="K7" s="171"/>
      <c r="L7" s="171"/>
      <c r="M7" s="171"/>
      <c r="N7" s="171"/>
      <c r="O7" s="171"/>
      <c r="P7" s="171"/>
    </row>
    <row r="8" spans="1:16" ht="15.75" thickBot="1" x14ac:dyDescent="0.3">
      <c r="A8" s="7" t="s">
        <v>29</v>
      </c>
      <c r="B8" s="135">
        <f>'Input Shaft'!B10</f>
        <v>9.81</v>
      </c>
      <c r="D8" s="13"/>
      <c r="E8" s="13"/>
      <c r="G8" s="80" t="s">
        <v>26</v>
      </c>
      <c r="H8" s="170">
        <v>0</v>
      </c>
      <c r="I8" s="168">
        <f>(I6*E4+H5*B14/2)/E5</f>
        <v>395.78602792891337</v>
      </c>
      <c r="J8" s="168">
        <f>((J4-B13)*E4-J7*E6)/E5</f>
        <v>962.45456451858547</v>
      </c>
      <c r="K8" s="171"/>
      <c r="L8" s="171"/>
      <c r="M8" s="171"/>
      <c r="N8" s="171"/>
      <c r="O8" s="171"/>
      <c r="P8" s="171"/>
    </row>
    <row r="9" spans="1:16" ht="16.5" thickTop="1" thickBot="1" x14ac:dyDescent="0.3">
      <c r="A9" s="7" t="s">
        <v>31</v>
      </c>
      <c r="B9" s="135">
        <f>'Input Shaft'!B11</f>
        <v>15</v>
      </c>
      <c r="D9" s="13"/>
      <c r="E9" s="13"/>
      <c r="G9" s="79" t="s">
        <v>23</v>
      </c>
      <c r="H9" s="170">
        <v>0</v>
      </c>
      <c r="I9" s="169">
        <f>I6-I8</f>
        <v>-22.987151503003531</v>
      </c>
      <c r="J9" s="168">
        <f>J4-J7-B13-J8</f>
        <v>421.07387197688115</v>
      </c>
      <c r="K9" s="171"/>
      <c r="L9" s="171"/>
      <c r="M9" s="171"/>
      <c r="N9" s="171"/>
      <c r="O9" s="171"/>
      <c r="P9" s="171"/>
    </row>
    <row r="10" spans="1:16" ht="15.75" thickTop="1" x14ac:dyDescent="0.25">
      <c r="A10" s="7" t="s">
        <v>34</v>
      </c>
      <c r="B10" s="135">
        <f>'Input Shaft'!B12</f>
        <v>15</v>
      </c>
      <c r="D10" s="13"/>
      <c r="E10" s="13"/>
      <c r="K10" s="171"/>
      <c r="L10" s="171"/>
      <c r="M10" s="171"/>
      <c r="N10" s="171"/>
      <c r="O10" s="171"/>
      <c r="P10" s="171"/>
    </row>
    <row r="11" spans="1:16" x14ac:dyDescent="0.25">
      <c r="A11" s="7" t="s">
        <v>36</v>
      </c>
      <c r="B11" s="136">
        <f>'Input Shaft'!B13</f>
        <v>1772000000</v>
      </c>
      <c r="K11" s="171"/>
      <c r="L11" s="171"/>
      <c r="M11" s="171"/>
      <c r="N11" s="171"/>
      <c r="O11" s="171"/>
      <c r="P11" s="171"/>
    </row>
    <row r="12" spans="1:16" x14ac:dyDescent="0.25">
      <c r="A12" s="7" t="s">
        <v>37</v>
      </c>
      <c r="B12" s="136">
        <f>'Input Shaft'!B14</f>
        <v>1641000000</v>
      </c>
      <c r="K12" s="171"/>
      <c r="L12" s="171"/>
      <c r="M12" s="171"/>
      <c r="N12" s="171"/>
      <c r="O12" s="171"/>
      <c r="P12" s="171"/>
    </row>
    <row r="13" spans="1:16" ht="18.75" x14ac:dyDescent="0.3">
      <c r="A13" s="7" t="s">
        <v>123</v>
      </c>
      <c r="B13" s="137">
        <f>'Intermediate Shaft'!G2</f>
        <v>7.7759113306203096</v>
      </c>
      <c r="K13" s="171"/>
      <c r="L13" s="171"/>
      <c r="M13" s="172" t="s">
        <v>151</v>
      </c>
      <c r="N13" s="171"/>
      <c r="O13" s="171"/>
      <c r="P13" s="171"/>
    </row>
    <row r="14" spans="1:16" x14ac:dyDescent="0.25">
      <c r="A14" s="7" t="s">
        <v>127</v>
      </c>
      <c r="B14" s="120">
        <f>'Intermediate Shaft'!B6</f>
        <v>84.182029989947054</v>
      </c>
      <c r="K14" s="171"/>
      <c r="L14" s="171"/>
      <c r="M14" s="171"/>
      <c r="N14" s="171"/>
      <c r="O14" s="171"/>
      <c r="P14" s="171"/>
    </row>
    <row r="15" spans="1:16" x14ac:dyDescent="0.25">
      <c r="A15" s="7" t="s">
        <v>38</v>
      </c>
      <c r="B15" s="120">
        <f>Bearings!B4</f>
        <v>277.6112612067343</v>
      </c>
      <c r="K15" s="171"/>
      <c r="L15" s="171"/>
      <c r="M15" s="171"/>
      <c r="N15" s="171"/>
      <c r="O15" s="171"/>
      <c r="P15" s="171"/>
    </row>
    <row r="16" spans="1:16" x14ac:dyDescent="0.25">
      <c r="K16" s="171"/>
      <c r="L16" s="171"/>
      <c r="M16" s="171"/>
      <c r="N16" s="171"/>
      <c r="O16" s="171"/>
      <c r="P16" s="171"/>
    </row>
    <row r="17" spans="11:16" x14ac:dyDescent="0.25">
      <c r="K17" s="171"/>
      <c r="L17" s="171"/>
      <c r="M17" s="171"/>
      <c r="N17" s="171"/>
      <c r="O17" s="171"/>
      <c r="P17" s="171"/>
    </row>
    <row r="18" spans="11:16" x14ac:dyDescent="0.25">
      <c r="K18" s="171"/>
      <c r="L18" s="171"/>
      <c r="M18" s="171"/>
      <c r="N18" s="171"/>
      <c r="O18" s="171"/>
      <c r="P18" s="171"/>
    </row>
    <row r="19" spans="11:16" x14ac:dyDescent="0.25">
      <c r="K19" s="171"/>
      <c r="L19" s="171"/>
      <c r="M19" s="171"/>
      <c r="N19" s="171"/>
      <c r="O19" s="171"/>
      <c r="P19" s="171"/>
    </row>
    <row r="20" spans="11:16" x14ac:dyDescent="0.25">
      <c r="K20" s="171"/>
      <c r="L20" s="171"/>
      <c r="M20" s="171"/>
      <c r="N20" s="171"/>
      <c r="O20" s="171"/>
      <c r="P20" s="171"/>
    </row>
    <row r="21" spans="11:16" x14ac:dyDescent="0.25">
      <c r="K21" s="171"/>
      <c r="L21" s="171"/>
      <c r="M21" s="171"/>
      <c r="N21" s="171"/>
      <c r="O21" s="171"/>
      <c r="P21" s="171"/>
    </row>
    <row r="22" spans="11:16" x14ac:dyDescent="0.25">
      <c r="K22" s="171"/>
      <c r="L22" s="171"/>
      <c r="M22" s="171"/>
      <c r="N22" s="171"/>
      <c r="O22" s="171"/>
      <c r="P22" s="171"/>
    </row>
    <row r="23" spans="11:16" x14ac:dyDescent="0.25">
      <c r="K23" s="171"/>
      <c r="L23" s="171"/>
      <c r="M23" s="171"/>
      <c r="N23" s="171"/>
      <c r="O23" s="171"/>
      <c r="P23" s="171"/>
    </row>
    <row r="24" spans="11:16" x14ac:dyDescent="0.25">
      <c r="K24" s="171"/>
      <c r="L24" s="171"/>
      <c r="M24" s="171"/>
      <c r="N24" s="171"/>
      <c r="O24" s="171"/>
      <c r="P24" s="171"/>
    </row>
    <row r="25" spans="11:16" x14ac:dyDescent="0.25">
      <c r="K25" s="171"/>
      <c r="L25" s="171"/>
      <c r="M25" s="171"/>
      <c r="N25" s="171"/>
      <c r="O25" s="171"/>
      <c r="P25" s="171"/>
    </row>
    <row r="26" spans="11:16" x14ac:dyDescent="0.25">
      <c r="K26" s="171"/>
      <c r="L26" s="171"/>
      <c r="M26" s="171"/>
      <c r="N26" s="171"/>
      <c r="O26" s="171"/>
      <c r="P26" s="171"/>
    </row>
    <row r="27" spans="11:16" x14ac:dyDescent="0.25">
      <c r="K27" s="171"/>
      <c r="L27" s="171"/>
      <c r="M27" s="171"/>
      <c r="N27" s="171"/>
      <c r="O27" s="171"/>
      <c r="P27" s="171"/>
    </row>
    <row r="28" spans="11:16" x14ac:dyDescent="0.25">
      <c r="K28" s="171"/>
      <c r="L28" s="171"/>
      <c r="M28" s="171"/>
      <c r="N28" s="171"/>
      <c r="O28" s="171"/>
      <c r="P28" s="171"/>
    </row>
    <row r="29" spans="11:16" x14ac:dyDescent="0.25">
      <c r="K29" s="171"/>
      <c r="L29" s="171"/>
      <c r="M29" s="171"/>
      <c r="N29" s="171"/>
      <c r="O29" s="171"/>
      <c r="P29" s="171"/>
    </row>
    <row r="35" spans="7:11" x14ac:dyDescent="0.25">
      <c r="K35" s="102"/>
    </row>
    <row r="38" spans="7:11" x14ac:dyDescent="0.25">
      <c r="G38" s="102"/>
    </row>
    <row r="40" spans="7:11" x14ac:dyDescent="0.25">
      <c r="G40" s="102"/>
    </row>
  </sheetData>
  <pageMargins left="0" right="0" top="0" bottom="0" header="0" footer="0"/>
  <pageSetup paperSize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041F6-6859-4722-A2D4-DB6953639043}">
  <sheetPr>
    <pageSetUpPr fitToPage="1"/>
  </sheetPr>
  <dimension ref="A1:O83"/>
  <sheetViews>
    <sheetView tabSelected="1" workbookViewId="0">
      <selection activeCell="C35" sqref="C35"/>
    </sheetView>
  </sheetViews>
  <sheetFormatPr defaultRowHeight="15" x14ac:dyDescent="0.25"/>
  <cols>
    <col min="3" max="3" width="27.42578125" customWidth="1"/>
    <col min="4" max="4" width="15.85546875" customWidth="1"/>
    <col min="6" max="6" width="11" customWidth="1"/>
    <col min="7" max="7" width="16.28515625" customWidth="1"/>
    <col min="8" max="8" width="16.7109375" customWidth="1"/>
    <col min="9" max="9" width="12.85546875" customWidth="1"/>
    <col min="10" max="10" width="20.28515625" customWidth="1"/>
    <col min="11" max="11" width="20.140625" customWidth="1"/>
    <col min="12" max="12" width="11.5703125" customWidth="1"/>
    <col min="13" max="13" width="16.42578125" customWidth="1"/>
    <col min="14" max="14" width="22.28515625" customWidth="1"/>
  </cols>
  <sheetData>
    <row r="1" spans="1:15" ht="19.5" x14ac:dyDescent="0.3">
      <c r="A1" s="144" t="s">
        <v>210</v>
      </c>
    </row>
    <row r="2" spans="1:15" ht="17.25" x14ac:dyDescent="0.3">
      <c r="C2" s="158" t="s">
        <v>211</v>
      </c>
      <c r="D2" s="90" t="s">
        <v>212</v>
      </c>
      <c r="E2" s="90" t="s">
        <v>213</v>
      </c>
      <c r="F2" s="90" t="s">
        <v>214</v>
      </c>
      <c r="G2" s="90" t="s">
        <v>215</v>
      </c>
      <c r="H2" s="90" t="s">
        <v>216</v>
      </c>
      <c r="I2" s="90" t="s">
        <v>217</v>
      </c>
      <c r="J2" s="90" t="s">
        <v>218</v>
      </c>
      <c r="K2" s="90" t="s">
        <v>219</v>
      </c>
      <c r="L2" s="90" t="s">
        <v>220</v>
      </c>
      <c r="M2" s="87" t="s">
        <v>221</v>
      </c>
    </row>
    <row r="3" spans="1:15" ht="16.5" thickTop="1" thickBot="1" x14ac:dyDescent="0.3">
      <c r="C3" s="80" t="s">
        <v>222</v>
      </c>
      <c r="D3" s="3">
        <v>125</v>
      </c>
      <c r="E3" s="226">
        <v>2.4</v>
      </c>
      <c r="F3" s="69">
        <f>E3</f>
        <v>2.4</v>
      </c>
      <c r="G3" s="2">
        <f>1.25*E3</f>
        <v>3</v>
      </c>
      <c r="H3" s="227">
        <f>M3/(PI()*E3*COS(K3*PI()/180))</f>
        <v>5.7077847265728119</v>
      </c>
      <c r="I3" s="3">
        <v>12</v>
      </c>
      <c r="J3" s="2">
        <f>'Intermediate Shaft'!B4/2</f>
        <v>150</v>
      </c>
      <c r="K3" s="228">
        <v>15</v>
      </c>
      <c r="L3" s="143">
        <f>'Intermediate Shaft'!F16</f>
        <v>25.4</v>
      </c>
      <c r="M3" s="229">
        <f>((((J4+F4)^2)-(J4*COS(K3*PI()/180)))^(1/2))+((((J3+F3)^2)-((J3*COS(K3*PI()/180))^2))^(1/2)) -(J3+J4)*SIN(K3*PI()/180)</f>
        <v>41.569277619821946</v>
      </c>
    </row>
    <row r="4" spans="1:15" ht="16.5" thickTop="1" thickBot="1" x14ac:dyDescent="0.3">
      <c r="C4" s="79" t="s">
        <v>223</v>
      </c>
      <c r="D4" s="3">
        <v>35</v>
      </c>
      <c r="E4" s="226"/>
      <c r="F4" s="3">
        <f>E3</f>
        <v>2.4</v>
      </c>
      <c r="G4" s="2">
        <f>1.25*E3</f>
        <v>3</v>
      </c>
      <c r="H4" s="227"/>
      <c r="I4" s="3">
        <v>12</v>
      </c>
      <c r="J4" s="2">
        <f>'Intermediate Shaft'!B6/2</f>
        <v>42.091014994973527</v>
      </c>
      <c r="K4" s="228"/>
      <c r="L4" s="143">
        <f>'Intermediate Shaft'!J16</f>
        <v>25.4</v>
      </c>
      <c r="M4" s="229"/>
    </row>
    <row r="5" spans="1:15" ht="15.75" thickTop="1" x14ac:dyDescent="0.25">
      <c r="C5" s="93"/>
      <c r="G5" s="163">
        <v>125</v>
      </c>
    </row>
    <row r="6" spans="1:15" x14ac:dyDescent="0.25">
      <c r="C6" t="s">
        <v>224</v>
      </c>
      <c r="D6" s="195">
        <f>10^10</f>
        <v>10000000000</v>
      </c>
      <c r="E6" s="196" t="s">
        <v>225</v>
      </c>
    </row>
    <row r="7" spans="1:15" x14ac:dyDescent="0.25">
      <c r="C7" s="93" t="s">
        <v>226</v>
      </c>
      <c r="D7" s="163" t="s">
        <v>227</v>
      </c>
      <c r="H7" s="93"/>
    </row>
    <row r="8" spans="1:15" x14ac:dyDescent="0.25">
      <c r="C8" t="s">
        <v>228</v>
      </c>
      <c r="D8">
        <f>6*(10^4)</f>
        <v>60000</v>
      </c>
      <c r="H8" s="93"/>
    </row>
    <row r="10" spans="1:15" ht="19.5" x14ac:dyDescent="0.3">
      <c r="A10" s="13"/>
      <c r="B10" s="144" t="s">
        <v>229</v>
      </c>
      <c r="C10" s="144"/>
      <c r="D10" s="144"/>
      <c r="E10" s="144"/>
    </row>
    <row r="11" spans="1:15" ht="15.75" x14ac:dyDescent="0.25">
      <c r="A11" s="78"/>
      <c r="C11" s="159" t="s">
        <v>230</v>
      </c>
      <c r="D11" s="146" t="s">
        <v>62</v>
      </c>
      <c r="E11" s="146" t="s">
        <v>231</v>
      </c>
      <c r="G11" s="94" t="s">
        <v>232</v>
      </c>
      <c r="H11" s="2">
        <f>(J3+J4)*SIN(K3*PI()/180) -H12</f>
        <v>38.822856765378148</v>
      </c>
      <c r="J11" s="230" t="s">
        <v>233</v>
      </c>
      <c r="K11" s="230"/>
    </row>
    <row r="12" spans="1:15" x14ac:dyDescent="0.25">
      <c r="B12" s="13"/>
      <c r="C12" s="155" t="s">
        <v>220</v>
      </c>
      <c r="D12" s="222">
        <f>L3</f>
        <v>25.4</v>
      </c>
      <c r="E12" s="223"/>
      <c r="G12" s="97" t="s">
        <v>234</v>
      </c>
      <c r="H12" s="2">
        <f>(( ((0.5*(F4+J4+J4-F3))^2)-((J4*COS(K3*PI()/180))^2) )^0.5)</f>
        <v>10.893956308394895</v>
      </c>
      <c r="J12" s="96" t="s">
        <v>235</v>
      </c>
      <c r="K12" s="164">
        <f>L3*TAN('Intermediate Shaft'!B10*PI()/180)/(PI()*E3)</f>
        <v>0.90266178100960337</v>
      </c>
    </row>
    <row r="13" spans="1:15" x14ac:dyDescent="0.25">
      <c r="C13" s="155" t="s">
        <v>236</v>
      </c>
      <c r="D13" s="222">
        <f>E3</f>
        <v>2.4</v>
      </c>
      <c r="E13" s="223"/>
      <c r="J13" s="96" t="s">
        <v>237</v>
      </c>
      <c r="K13" s="2">
        <f>K12-TRUNC(K12)</f>
        <v>0.90266178100960337</v>
      </c>
    </row>
    <row r="14" spans="1:15" x14ac:dyDescent="0.25">
      <c r="C14" s="155" t="s">
        <v>238</v>
      </c>
      <c r="D14" s="21">
        <v>0.5</v>
      </c>
      <c r="E14" s="34">
        <f xml:space="preserve"> COS(K3*PI()/180) / ((1/H62+1/H61)*'Intermediate Shaft'!D5*K18)</f>
        <v>0.55395961826261819</v>
      </c>
      <c r="G14" s="94" t="s">
        <v>239</v>
      </c>
      <c r="H14" s="2">
        <f>50+56*(1-H15)</f>
        <v>106</v>
      </c>
      <c r="J14" s="96" t="s">
        <v>240</v>
      </c>
      <c r="K14" s="2">
        <f>H3-TRUNC(H3)</f>
        <v>0.70778472657281188</v>
      </c>
      <c r="O14" s="89"/>
    </row>
    <row r="15" spans="1:15" x14ac:dyDescent="0.25">
      <c r="C15" s="155" t="s">
        <v>241</v>
      </c>
      <c r="D15" s="151">
        <f>(H14/(H14+((200*H16)^0.5)))^H15</f>
        <v>1</v>
      </c>
      <c r="E15" s="23">
        <f>(H22/(H22+((200*H24)^0.5)))^H23</f>
        <v>1</v>
      </c>
      <c r="G15" s="96" t="s">
        <v>242</v>
      </c>
      <c r="H15" s="2">
        <f>((12-I3)^(2/3))/4</f>
        <v>0</v>
      </c>
      <c r="J15" s="96" t="s">
        <v>243</v>
      </c>
      <c r="K15" s="2">
        <f>H3*L3-(1-K13)*(1-K14)*PI()*E3/(TAN(RADIANS('Intermediate Shaft'!B10))*COS(RADIANS(K17)))</f>
        <v>144.1509813116098</v>
      </c>
    </row>
    <row r="16" spans="1:15" x14ac:dyDescent="0.25">
      <c r="C16" s="155" t="s">
        <v>244</v>
      </c>
      <c r="D16" s="21">
        <v>1.6</v>
      </c>
      <c r="E16" s="22">
        <v>1.6</v>
      </c>
      <c r="G16" s="97" t="s">
        <v>245</v>
      </c>
      <c r="H16" s="2">
        <f>((H14+(I3-3))^2)/200</f>
        <v>66.125</v>
      </c>
      <c r="J16" s="96" t="s">
        <v>246</v>
      </c>
      <c r="K16" s="2">
        <f>(ATAN(TAN(K3*PI()/180)*(COS(RADIANS('Intermediate Shaft'!B10)))))*180/PI()</f>
        <v>14.510818699069853</v>
      </c>
    </row>
    <row r="17" spans="2:11" x14ac:dyDescent="0.25">
      <c r="C17" s="155" t="s">
        <v>247</v>
      </c>
      <c r="D17" s="21">
        <v>1</v>
      </c>
      <c r="E17" s="22">
        <v>1</v>
      </c>
      <c r="J17" s="96" t="s">
        <v>248</v>
      </c>
      <c r="K17" s="2">
        <f>ACOS( (COS(RADIANS('Intermediate Shaft'!B10)) * COS(RADIANS(K16)) / COS(RADIANS(K3))))*180/PI()</f>
        <v>14.510818699069867</v>
      </c>
    </row>
    <row r="18" spans="2:11" x14ac:dyDescent="0.25">
      <c r="C18" s="155" t="s">
        <v>249</v>
      </c>
      <c r="D18" s="21">
        <v>1</v>
      </c>
      <c r="E18" s="22">
        <v>1</v>
      </c>
      <c r="G18" s="94" t="s">
        <v>250</v>
      </c>
      <c r="H18" s="3">
        <v>0.28000000000000003</v>
      </c>
      <c r="J18" s="97" t="s">
        <v>251</v>
      </c>
      <c r="K18" s="2">
        <f>L3/K15</f>
        <v>0.17620414213548127</v>
      </c>
    </row>
    <row r="19" spans="2:11" x14ac:dyDescent="0.25">
      <c r="C19" s="155" t="s">
        <v>252</v>
      </c>
      <c r="D19" s="21">
        <v>1</v>
      </c>
      <c r="E19" s="156" t="s">
        <v>253</v>
      </c>
      <c r="G19" s="97" t="s">
        <v>254</v>
      </c>
      <c r="H19" s="5">
        <v>200000</v>
      </c>
    </row>
    <row r="20" spans="2:11" x14ac:dyDescent="0.25">
      <c r="C20" s="155" t="s">
        <v>255</v>
      </c>
      <c r="D20" s="21">
        <v>1</v>
      </c>
      <c r="E20" s="156" t="s">
        <v>253</v>
      </c>
    </row>
    <row r="21" spans="2:11" x14ac:dyDescent="0.25">
      <c r="C21" s="155" t="s">
        <v>256</v>
      </c>
      <c r="D21" s="152" t="s">
        <v>253</v>
      </c>
      <c r="E21" s="23">
        <f>((1/(PI()*(((1-(H18*H18))/H19)*2)))^0.5)</f>
        <v>185.84626209924699</v>
      </c>
      <c r="J21" s="224" t="s">
        <v>257</v>
      </c>
      <c r="K21" s="225"/>
    </row>
    <row r="22" spans="2:11" x14ac:dyDescent="0.25">
      <c r="C22" s="155" t="s">
        <v>258</v>
      </c>
      <c r="D22" s="152" t="s">
        <v>253</v>
      </c>
      <c r="E22" s="22">
        <v>1</v>
      </c>
      <c r="G22" s="94" t="s">
        <v>239</v>
      </c>
      <c r="H22" s="2">
        <f>50+56*(1-H23)</f>
        <v>106</v>
      </c>
      <c r="J22" s="94" t="s">
        <v>259</v>
      </c>
      <c r="K22" s="192">
        <f>D8/60/Bearings!E2</f>
        <v>26.455026455026456</v>
      </c>
    </row>
    <row r="23" spans="2:11" x14ac:dyDescent="0.25">
      <c r="C23" s="155" t="s">
        <v>260</v>
      </c>
      <c r="D23" s="222">
        <f>(ABS('Input Shaft'!N2))</f>
        <v>10886.000000000002</v>
      </c>
      <c r="E23" s="223"/>
      <c r="G23" s="96" t="s">
        <v>242</v>
      </c>
      <c r="H23" s="2">
        <f>((12-I3)^(2/3))/4</f>
        <v>0</v>
      </c>
      <c r="J23" s="96" t="s">
        <v>261</v>
      </c>
      <c r="K23" s="192">
        <f>D6/60/Bearings!E3</f>
        <v>1237243.2391232667</v>
      </c>
    </row>
    <row r="24" spans="2:11" x14ac:dyDescent="0.25">
      <c r="C24" s="157" t="s">
        <v>262</v>
      </c>
      <c r="D24" s="154">
        <f>D17*D16*D23*D18*D19*D20/(D12*D13*D14*D15)</f>
        <v>571.4435695538059</v>
      </c>
      <c r="E24" s="39">
        <f>E21*((D23*E17*E16*E18*E22/('Intermediate Shaft'!D5*E14*D12))^0.5)</f>
        <v>712.65999069790064</v>
      </c>
      <c r="G24" s="97" t="s">
        <v>245</v>
      </c>
      <c r="H24" s="2">
        <f>((H47+(I3-3))^2)/200</f>
        <v>66.125</v>
      </c>
      <c r="J24" s="96" t="s">
        <v>263</v>
      </c>
      <c r="K24" s="193">
        <f>D6/60/Bearings!E3</f>
        <v>1237243.2391232667</v>
      </c>
    </row>
    <row r="25" spans="2:11" x14ac:dyDescent="0.25">
      <c r="C25" s="13"/>
      <c r="D25" s="13"/>
      <c r="J25" s="191" t="s">
        <v>264</v>
      </c>
      <c r="K25" s="194">
        <f>(D6)/60/Bearings!E4</f>
        <v>347178.82486911363</v>
      </c>
    </row>
    <row r="26" spans="2:11" x14ac:dyDescent="0.25">
      <c r="C26" s="159" t="s">
        <v>265</v>
      </c>
      <c r="D26" s="146" t="s">
        <v>62</v>
      </c>
      <c r="E26" s="146" t="s">
        <v>231</v>
      </c>
    </row>
    <row r="27" spans="2:11" x14ac:dyDescent="0.25">
      <c r="C27" s="149" t="s">
        <v>266</v>
      </c>
      <c r="D27" s="147">
        <v>520</v>
      </c>
      <c r="E27" s="150">
        <v>1300</v>
      </c>
    </row>
    <row r="28" spans="2:11" x14ac:dyDescent="0.25">
      <c r="C28" s="149" t="s">
        <v>267</v>
      </c>
      <c r="D28" s="151">
        <f>6.1514*((D8)^-0.1192)</f>
        <v>1.6573656717628513</v>
      </c>
      <c r="E28" s="151">
        <f>2.466*((D8)^-0.056)</f>
        <v>1.331731284808698</v>
      </c>
    </row>
    <row r="29" spans="2:11" x14ac:dyDescent="0.25">
      <c r="C29" s="149" t="s">
        <v>268</v>
      </c>
      <c r="D29" s="21">
        <v>1</v>
      </c>
      <c r="E29" s="22">
        <v>1</v>
      </c>
    </row>
    <row r="30" spans="2:11" x14ac:dyDescent="0.25">
      <c r="C30" s="149" t="s">
        <v>269</v>
      </c>
      <c r="D30" s="21">
        <v>1</v>
      </c>
      <c r="E30" s="22">
        <v>1</v>
      </c>
      <c r="K30" s="123"/>
    </row>
    <row r="31" spans="2:11" x14ac:dyDescent="0.25">
      <c r="C31" s="149" t="s">
        <v>270</v>
      </c>
      <c r="D31" s="152" t="s">
        <v>253</v>
      </c>
      <c r="E31" s="22">
        <v>1</v>
      </c>
    </row>
    <row r="32" spans="2:11" x14ac:dyDescent="0.25">
      <c r="B32" s="13"/>
      <c r="C32" s="149" t="s">
        <v>271</v>
      </c>
      <c r="D32" s="151">
        <f>D27*D28/(D29*D30)</f>
        <v>861.83014931668265</v>
      </c>
      <c r="E32" s="23">
        <f>E27*E28*E31/(E29*E30)</f>
        <v>1731.2506702513074</v>
      </c>
    </row>
    <row r="33" spans="2:8" x14ac:dyDescent="0.25">
      <c r="C33" s="153" t="s">
        <v>106</v>
      </c>
      <c r="D33" s="154">
        <f>D32/D24</f>
        <v>1.5081631769688408</v>
      </c>
      <c r="E33" s="39">
        <f>(E32/E24)^2</f>
        <v>5.9014013732720949</v>
      </c>
    </row>
    <row r="34" spans="2:8" x14ac:dyDescent="0.25">
      <c r="B34" s="13"/>
      <c r="C34" s="145"/>
    </row>
    <row r="35" spans="2:8" ht="20.25" thickBot="1" x14ac:dyDescent="0.35">
      <c r="B35" s="144" t="s">
        <v>272</v>
      </c>
      <c r="C35" s="144"/>
      <c r="D35" s="144"/>
      <c r="E35" s="144"/>
    </row>
    <row r="36" spans="2:8" ht="16.5" thickTop="1" thickBot="1" x14ac:dyDescent="0.3">
      <c r="C36" s="159" t="s">
        <v>230</v>
      </c>
      <c r="D36" s="148" t="s">
        <v>62</v>
      </c>
      <c r="E36" s="146" t="s">
        <v>231</v>
      </c>
    </row>
    <row r="37" spans="2:8" ht="15.75" thickBot="1" x14ac:dyDescent="0.3">
      <c r="C37" s="155" t="s">
        <v>220</v>
      </c>
      <c r="D37" s="222">
        <f>L3</f>
        <v>25.4</v>
      </c>
      <c r="E37" s="223"/>
    </row>
    <row r="38" spans="2:8" ht="16.5" thickTop="1" thickBot="1" x14ac:dyDescent="0.3">
      <c r="C38" s="155" t="s">
        <v>236</v>
      </c>
      <c r="D38" s="222">
        <f>E3</f>
        <v>2.4</v>
      </c>
      <c r="E38" s="223"/>
    </row>
    <row r="39" spans="2:8" ht="15.75" thickTop="1" x14ac:dyDescent="0.25">
      <c r="C39" s="155" t="s">
        <v>273</v>
      </c>
      <c r="D39" s="21">
        <v>0.47</v>
      </c>
      <c r="E39" s="23">
        <f xml:space="preserve"> COS(K3*PI()/180) / ((1/H62+1/H61)*'Intermediate Shaft'!B6*K18)</f>
        <v>0.55395961826261819</v>
      </c>
      <c r="G39" s="94" t="s">
        <v>239</v>
      </c>
      <c r="H39" s="2">
        <f>50+56*(1-H40)</f>
        <v>106</v>
      </c>
    </row>
    <row r="40" spans="2:8" x14ac:dyDescent="0.25">
      <c r="C40" s="155" t="s">
        <v>241</v>
      </c>
      <c r="D40" s="151">
        <f>(H39/(H39+((200*H41)^0.5)))^H40</f>
        <v>1</v>
      </c>
      <c r="E40" s="23">
        <f>(H47/(H47+((200*H49)^0.5)))^H48</f>
        <v>1</v>
      </c>
      <c r="G40" s="96" t="s">
        <v>242</v>
      </c>
      <c r="H40" s="2">
        <f>((12-I3)^(2/3))/4</f>
        <v>0</v>
      </c>
    </row>
    <row r="41" spans="2:8" x14ac:dyDescent="0.25">
      <c r="C41" s="155" t="s">
        <v>244</v>
      </c>
      <c r="D41" s="21">
        <v>1.6</v>
      </c>
      <c r="E41" s="22">
        <v>1.6</v>
      </c>
      <c r="G41" s="97" t="s">
        <v>245</v>
      </c>
      <c r="H41" s="2">
        <f>((H39+(I3-3))^2)/200</f>
        <v>66.125</v>
      </c>
    </row>
    <row r="42" spans="2:8" x14ac:dyDescent="0.25">
      <c r="C42" s="155" t="s">
        <v>247</v>
      </c>
      <c r="D42" s="21">
        <v>1</v>
      </c>
      <c r="E42" s="22">
        <v>1</v>
      </c>
    </row>
    <row r="43" spans="2:8" x14ac:dyDescent="0.25">
      <c r="C43" s="155" t="s">
        <v>249</v>
      </c>
      <c r="D43" s="21">
        <v>1</v>
      </c>
      <c r="E43" s="22">
        <v>1</v>
      </c>
      <c r="G43" s="94" t="s">
        <v>250</v>
      </c>
      <c r="H43" s="3">
        <v>0.28000000000000003</v>
      </c>
    </row>
    <row r="44" spans="2:8" x14ac:dyDescent="0.25">
      <c r="C44" s="155" t="s">
        <v>252</v>
      </c>
      <c r="D44" s="21">
        <v>1</v>
      </c>
      <c r="E44" s="156" t="s">
        <v>253</v>
      </c>
      <c r="G44" s="97" t="s">
        <v>254</v>
      </c>
      <c r="H44" s="5">
        <v>200000</v>
      </c>
    </row>
    <row r="45" spans="2:8" x14ac:dyDescent="0.25">
      <c r="C45" s="155" t="s">
        <v>255</v>
      </c>
      <c r="D45" s="21">
        <v>1</v>
      </c>
      <c r="E45" s="156" t="s">
        <v>253</v>
      </c>
    </row>
    <row r="46" spans="2:8" x14ac:dyDescent="0.25">
      <c r="C46" s="155" t="s">
        <v>256</v>
      </c>
      <c r="D46" s="152" t="s">
        <v>253</v>
      </c>
      <c r="E46" s="23">
        <f>((1/(PI()*(((1-(H43*H43))/H44)*2)))^0.5)</f>
        <v>185.84626209924699</v>
      </c>
    </row>
    <row r="47" spans="2:8" x14ac:dyDescent="0.25">
      <c r="C47" s="155" t="s">
        <v>258</v>
      </c>
      <c r="D47" s="152" t="s">
        <v>253</v>
      </c>
      <c r="E47" s="22">
        <v>1</v>
      </c>
      <c r="G47" s="94" t="s">
        <v>239</v>
      </c>
      <c r="H47" s="2">
        <f>50+56*(1-H48)</f>
        <v>106</v>
      </c>
    </row>
    <row r="48" spans="2:8" x14ac:dyDescent="0.25">
      <c r="C48" s="155" t="s">
        <v>260</v>
      </c>
      <c r="D48" s="222">
        <f>(ABS('Intermediate Shaft'!O11))</f>
        <v>2916.8949088052027</v>
      </c>
      <c r="E48" s="223"/>
      <c r="G48" s="96" t="s">
        <v>242</v>
      </c>
      <c r="H48" s="2">
        <f>((12-I3)^(2/3))/4</f>
        <v>0</v>
      </c>
    </row>
    <row r="49" spans="2:8" x14ac:dyDescent="0.25">
      <c r="C49" s="157" t="s">
        <v>262</v>
      </c>
      <c r="D49" s="154">
        <f>D42*D41*D48*D43*D44*D45/(D37*D38*D39*D40)</f>
        <v>162.89132232117066</v>
      </c>
      <c r="E49" s="39">
        <f>E46*((D48*E42*E41*E43*E47/('Intermediate Shaft'!B4*E39*D37))^0.5)</f>
        <v>195.41489959259863</v>
      </c>
      <c r="G49" s="97" t="s">
        <v>245</v>
      </c>
      <c r="H49" s="2">
        <f>((H47+(I3-3))^2)/200</f>
        <v>66.125</v>
      </c>
    </row>
    <row r="51" spans="2:8" ht="15.75" thickBot="1" x14ac:dyDescent="0.3">
      <c r="C51" s="159" t="s">
        <v>265</v>
      </c>
      <c r="D51" s="148" t="s">
        <v>62</v>
      </c>
      <c r="E51" s="148" t="s">
        <v>231</v>
      </c>
    </row>
    <row r="52" spans="2:8" x14ac:dyDescent="0.25">
      <c r="C52" s="149" t="s">
        <v>266</v>
      </c>
      <c r="D52" s="147">
        <v>520</v>
      </c>
      <c r="E52" s="150">
        <v>1300</v>
      </c>
    </row>
    <row r="53" spans="2:8" x14ac:dyDescent="0.25">
      <c r="C53" s="149" t="s">
        <v>267</v>
      </c>
      <c r="D53" s="151">
        <f>1.3558*((10^10)^-0.0178)</f>
        <v>0.89990285485090793</v>
      </c>
      <c r="E53" s="22">
        <f>2.466*((D6)^-0.056)</f>
        <v>0.6791927982431919</v>
      </c>
    </row>
    <row r="54" spans="2:8" x14ac:dyDescent="0.25">
      <c r="C54" s="149" t="s">
        <v>268</v>
      </c>
      <c r="D54" s="21">
        <v>1</v>
      </c>
      <c r="E54" s="22">
        <v>1</v>
      </c>
    </row>
    <row r="55" spans="2:8" x14ac:dyDescent="0.25">
      <c r="C55" s="149" t="s">
        <v>269</v>
      </c>
      <c r="D55" s="21">
        <v>1</v>
      </c>
      <c r="E55" s="22">
        <v>1</v>
      </c>
    </row>
    <row r="56" spans="2:8" x14ac:dyDescent="0.25">
      <c r="C56" s="149" t="s">
        <v>270</v>
      </c>
      <c r="D56" s="152" t="s">
        <v>253</v>
      </c>
      <c r="E56" s="22">
        <v>1</v>
      </c>
    </row>
    <row r="57" spans="2:8" x14ac:dyDescent="0.25">
      <c r="C57" s="149" t="s">
        <v>271</v>
      </c>
      <c r="D57" s="151">
        <f>D52*D53/(D54*D55)</f>
        <v>467.94948452247212</v>
      </c>
      <c r="E57" s="23">
        <f>E52*E53*E56/(E54*E55)</f>
        <v>882.95063771614946</v>
      </c>
    </row>
    <row r="58" spans="2:8" x14ac:dyDescent="0.25">
      <c r="C58" s="153" t="s">
        <v>106</v>
      </c>
      <c r="D58" s="154">
        <f>D57/D49</f>
        <v>2.8727711080877736</v>
      </c>
      <c r="E58" s="39">
        <f>(E57/E49)^2</f>
        <v>20.415381571118033</v>
      </c>
    </row>
    <row r="60" spans="2:8" ht="20.25" thickBot="1" x14ac:dyDescent="0.35">
      <c r="B60" s="144" t="s">
        <v>274</v>
      </c>
      <c r="C60" s="144"/>
      <c r="D60" s="144"/>
      <c r="E60" s="144"/>
    </row>
    <row r="61" spans="2:8" ht="16.5" thickTop="1" thickBot="1" x14ac:dyDescent="0.3">
      <c r="C61" s="159" t="s">
        <v>230</v>
      </c>
      <c r="D61" s="148" t="s">
        <v>62</v>
      </c>
      <c r="E61" s="146" t="s">
        <v>231</v>
      </c>
      <c r="G61" s="94" t="s">
        <v>232</v>
      </c>
      <c r="H61" s="2">
        <f>(J3+J4)*SIN(K3*PI()/180) -H62</f>
        <v>38.822856765378148</v>
      </c>
    </row>
    <row r="62" spans="2:8" ht="15.75" thickBot="1" x14ac:dyDescent="0.3">
      <c r="C62" s="155" t="s">
        <v>220</v>
      </c>
      <c r="D62" s="231">
        <f>L3</f>
        <v>25.4</v>
      </c>
      <c r="E62" s="232"/>
      <c r="G62" s="97" t="s">
        <v>234</v>
      </c>
      <c r="H62" s="2">
        <f>((  ((0.5*(F4+J4+J4-F3))^2)-((J4*COS(K3*PI()/180))^2)  )^0.5)</f>
        <v>10.893956308394895</v>
      </c>
    </row>
    <row r="63" spans="2:8" ht="16.5" thickTop="1" thickBot="1" x14ac:dyDescent="0.3">
      <c r="C63" s="155" t="s">
        <v>236</v>
      </c>
      <c r="D63" s="231">
        <f>E3</f>
        <v>2.4</v>
      </c>
      <c r="E63" s="232"/>
    </row>
    <row r="64" spans="2:8" ht="15.75" thickTop="1" x14ac:dyDescent="0.25">
      <c r="C64" s="155" t="s">
        <v>273</v>
      </c>
      <c r="D64" s="21">
        <v>0.5</v>
      </c>
      <c r="E64" s="23">
        <f xml:space="preserve"> COS(K3*PI()/180) / ((1/H62+1/H61)*'Intermediate Shaft'!B4*K18)</f>
        <v>0.15544481732601115</v>
      </c>
      <c r="G64" s="94" t="s">
        <v>239</v>
      </c>
      <c r="H64" s="2">
        <f>50+56*(1-H65)</f>
        <v>106</v>
      </c>
    </row>
    <row r="65" spans="3:11" x14ac:dyDescent="0.25">
      <c r="C65" s="155" t="s">
        <v>241</v>
      </c>
      <c r="D65" s="151">
        <f>(H64/(H64+((200*H66)^0.5)))^H65</f>
        <v>1</v>
      </c>
      <c r="E65" s="23">
        <f>(H72/(H72+((200*H74)^0.5)))^H73</f>
        <v>1</v>
      </c>
      <c r="G65" s="96" t="s">
        <v>242</v>
      </c>
      <c r="H65" s="2">
        <f>((12-I3)^(2/3))/4</f>
        <v>0</v>
      </c>
    </row>
    <row r="66" spans="3:11" x14ac:dyDescent="0.25">
      <c r="C66" s="155" t="s">
        <v>244</v>
      </c>
      <c r="D66" s="21">
        <v>1.6</v>
      </c>
      <c r="E66" s="22">
        <v>1.6</v>
      </c>
      <c r="G66" s="97" t="s">
        <v>245</v>
      </c>
      <c r="H66" s="2">
        <f>((H64+(I3-3))^2)/200</f>
        <v>66.125</v>
      </c>
    </row>
    <row r="67" spans="3:11" x14ac:dyDescent="0.25">
      <c r="C67" s="155" t="s">
        <v>247</v>
      </c>
      <c r="D67" s="21">
        <v>1</v>
      </c>
      <c r="E67" s="22">
        <v>1</v>
      </c>
    </row>
    <row r="68" spans="3:11" x14ac:dyDescent="0.25">
      <c r="C68" s="155" t="s">
        <v>275</v>
      </c>
      <c r="D68" s="21">
        <v>1</v>
      </c>
      <c r="E68" s="22">
        <v>1</v>
      </c>
      <c r="G68" s="94" t="s">
        <v>250</v>
      </c>
      <c r="H68" s="3">
        <v>0.28000000000000003</v>
      </c>
    </row>
    <row r="69" spans="3:11" x14ac:dyDescent="0.25">
      <c r="C69" s="155" t="s">
        <v>252</v>
      </c>
      <c r="D69" s="21">
        <v>1</v>
      </c>
      <c r="E69" s="156" t="s">
        <v>253</v>
      </c>
      <c r="G69" s="97" t="s">
        <v>254</v>
      </c>
      <c r="H69" s="5">
        <v>200000</v>
      </c>
    </row>
    <row r="70" spans="3:11" x14ac:dyDescent="0.25">
      <c r="C70" s="155" t="s">
        <v>255</v>
      </c>
      <c r="D70" s="21">
        <v>1</v>
      </c>
      <c r="E70" s="156" t="s">
        <v>253</v>
      </c>
    </row>
    <row r="71" spans="3:11" x14ac:dyDescent="0.25">
      <c r="C71" s="155" t="s">
        <v>256</v>
      </c>
      <c r="D71" s="152" t="s">
        <v>253</v>
      </c>
      <c r="E71" s="23">
        <f>((1/( PI()*(((1-(H68*H68))/H69)*2)))^0.5)</f>
        <v>185.84626209924699</v>
      </c>
    </row>
    <row r="72" spans="3:11" x14ac:dyDescent="0.25">
      <c r="C72" s="155" t="s">
        <v>258</v>
      </c>
      <c r="D72" s="152" t="s">
        <v>253</v>
      </c>
      <c r="E72" s="22">
        <v>1</v>
      </c>
      <c r="G72" s="94" t="s">
        <v>239</v>
      </c>
      <c r="H72" s="2">
        <f>50+56*(1-H73)</f>
        <v>106</v>
      </c>
    </row>
    <row r="73" spans="3:11" x14ac:dyDescent="0.25">
      <c r="C73" s="155" t="s">
        <v>260</v>
      </c>
      <c r="D73" s="222">
        <f>'Intermediate Shaft'!Q12</f>
        <v>3054.6852615685461</v>
      </c>
      <c r="E73" s="223"/>
      <c r="G73" s="96" t="s">
        <v>242</v>
      </c>
      <c r="H73" s="2">
        <f>((12-I3)^(2/3))/4</f>
        <v>0</v>
      </c>
    </row>
    <row r="74" spans="3:11" x14ac:dyDescent="0.25">
      <c r="C74" s="157" t="s">
        <v>262</v>
      </c>
      <c r="D74" s="154">
        <f>D67*D66*D73*D68*D69*D70/(L3*E3*D64*D65)</f>
        <v>160.35093236580298</v>
      </c>
      <c r="E74" s="39">
        <f>E71*((D73*E67*E66*E68*E72/('Intermediate Shaft'!B4*E64*D62))^0.5)</f>
        <v>377.51259671635233</v>
      </c>
      <c r="G74" s="97" t="s">
        <v>245</v>
      </c>
      <c r="H74" s="2">
        <f>((H72+(I3-3))^2)/200</f>
        <v>66.125</v>
      </c>
      <c r="K74" s="123"/>
    </row>
    <row r="76" spans="3:11" ht="15.75" thickBot="1" x14ac:dyDescent="0.3">
      <c r="C76" s="159" t="s">
        <v>265</v>
      </c>
      <c r="D76" s="148" t="s">
        <v>62</v>
      </c>
      <c r="E76" s="146" t="s">
        <v>231</v>
      </c>
    </row>
    <row r="77" spans="3:11" x14ac:dyDescent="0.25">
      <c r="C77" s="149" t="s">
        <v>266</v>
      </c>
      <c r="D77" s="147">
        <v>520</v>
      </c>
      <c r="E77" s="150">
        <v>1300</v>
      </c>
    </row>
    <row r="78" spans="3:11" x14ac:dyDescent="0.25">
      <c r="C78" s="149" t="s">
        <v>267</v>
      </c>
      <c r="D78" s="151">
        <f>1.3558*((10^10)^-0.0178)</f>
        <v>0.89990285485090793</v>
      </c>
      <c r="E78" s="151">
        <f>2.466*((D6)^-0.056)</f>
        <v>0.6791927982431919</v>
      </c>
    </row>
    <row r="79" spans="3:11" x14ac:dyDescent="0.25">
      <c r="C79" s="149" t="s">
        <v>268</v>
      </c>
      <c r="D79" s="21">
        <v>1</v>
      </c>
      <c r="E79" s="22">
        <v>1</v>
      </c>
    </row>
    <row r="80" spans="3:11" x14ac:dyDescent="0.25">
      <c r="C80" s="149" t="s">
        <v>269</v>
      </c>
      <c r="D80" s="21">
        <v>1</v>
      </c>
      <c r="E80" s="22">
        <v>1</v>
      </c>
    </row>
    <row r="81" spans="3:5" x14ac:dyDescent="0.25">
      <c r="C81" s="149" t="s">
        <v>270</v>
      </c>
      <c r="D81" s="152" t="s">
        <v>253</v>
      </c>
      <c r="E81" s="22">
        <v>1</v>
      </c>
    </row>
    <row r="82" spans="3:5" x14ac:dyDescent="0.25">
      <c r="C82" s="149" t="s">
        <v>271</v>
      </c>
      <c r="D82" s="151">
        <f>D77*D78/(D79*D80)</f>
        <v>467.94948452247212</v>
      </c>
      <c r="E82" s="23">
        <f>E77*E78*E81/(E79*E80)</f>
        <v>882.95063771614946</v>
      </c>
    </row>
    <row r="83" spans="3:5" x14ac:dyDescent="0.25">
      <c r="C83" s="153" t="s">
        <v>106</v>
      </c>
      <c r="D83" s="154">
        <f>D82/D74</f>
        <v>2.9182835273757894</v>
      </c>
      <c r="E83" s="39">
        <f>(E82/E74)^2</f>
        <v>5.4702850051543006</v>
      </c>
    </row>
  </sheetData>
  <mergeCells count="15">
    <mergeCell ref="M3:M4"/>
    <mergeCell ref="J11:K11"/>
    <mergeCell ref="D63:E63"/>
    <mergeCell ref="D13:E13"/>
    <mergeCell ref="D37:E37"/>
    <mergeCell ref="D38:E38"/>
    <mergeCell ref="D62:E62"/>
    <mergeCell ref="D23:E23"/>
    <mergeCell ref="D48:E48"/>
    <mergeCell ref="D73:E73"/>
    <mergeCell ref="J21:K21"/>
    <mergeCell ref="D12:E12"/>
    <mergeCell ref="E3:E4"/>
    <mergeCell ref="H3:H4"/>
    <mergeCell ref="K3:K4"/>
  </mergeCells>
  <pageMargins left="0" right="0" top="0" bottom="0" header="0" footer="0"/>
  <pageSetup paperSize="3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F4463-7423-4D48-8090-C36E483A90D5}">
  <sheetPr>
    <pageSetUpPr fitToPage="1"/>
  </sheetPr>
  <dimension ref="A1:L19"/>
  <sheetViews>
    <sheetView tabSelected="1" workbookViewId="0">
      <selection activeCell="C35" sqref="C35"/>
    </sheetView>
  </sheetViews>
  <sheetFormatPr defaultRowHeight="15" x14ac:dyDescent="0.25"/>
  <cols>
    <col min="1" max="1" width="32.140625" bestFit="1" customWidth="1"/>
    <col min="2" max="3" width="9.140625" customWidth="1"/>
    <col min="4" max="4" width="21.28515625" bestFit="1" customWidth="1"/>
    <col min="6" max="6" width="24.140625" bestFit="1" customWidth="1"/>
    <col min="7" max="7" width="22.42578125" bestFit="1" customWidth="1"/>
    <col min="10" max="10" width="11.140625" bestFit="1" customWidth="1"/>
    <col min="12" max="12" width="25" bestFit="1" customWidth="1"/>
  </cols>
  <sheetData>
    <row r="1" spans="1:12" ht="19.5" x14ac:dyDescent="0.3">
      <c r="A1" s="144" t="s">
        <v>276</v>
      </c>
      <c r="B1" s="13"/>
      <c r="C1" s="13"/>
      <c r="D1" s="13"/>
      <c r="E1" s="13"/>
    </row>
    <row r="2" spans="1:12" x14ac:dyDescent="0.25">
      <c r="A2" s="7" t="s">
        <v>277</v>
      </c>
      <c r="B2" s="140">
        <f>G13</f>
        <v>4956.2262269159473</v>
      </c>
      <c r="D2" s="88" t="s">
        <v>278</v>
      </c>
      <c r="E2" s="143">
        <f>'Input Shaft'!B5</f>
        <v>37.799999999999997</v>
      </c>
    </row>
    <row r="3" spans="1:12" ht="16.5" thickTop="1" thickBot="1" x14ac:dyDescent="0.3">
      <c r="A3" s="7" t="s">
        <v>279</v>
      </c>
      <c r="B3" s="140">
        <f>G15</f>
        <v>2460.5639793443147</v>
      </c>
      <c r="D3" s="88" t="s">
        <v>280</v>
      </c>
      <c r="E3" s="165">
        <f>'Intermediate Shaft'!B5</f>
        <v>134.70808438991327</v>
      </c>
    </row>
    <row r="4" spans="1:12" ht="16.5" thickTop="1" thickBot="1" x14ac:dyDescent="0.3">
      <c r="A4" s="7" t="s">
        <v>281</v>
      </c>
      <c r="B4" s="140">
        <f>G17</f>
        <v>277.6112612067343</v>
      </c>
      <c r="D4" s="88" t="s">
        <v>282</v>
      </c>
      <c r="E4" s="143">
        <f>'Output Shaft'!B4</f>
        <v>480.05999999999995</v>
      </c>
    </row>
    <row r="5" spans="1:12" ht="15.75" thickTop="1" x14ac:dyDescent="0.25">
      <c r="A5" s="166" t="s">
        <v>283</v>
      </c>
      <c r="B5" s="3">
        <v>81200</v>
      </c>
    </row>
    <row r="6" spans="1:12" x14ac:dyDescent="0.25">
      <c r="A6" s="166" t="s">
        <v>284</v>
      </c>
      <c r="B6" s="3">
        <v>0.4</v>
      </c>
    </row>
    <row r="7" spans="1:12" x14ac:dyDescent="0.25">
      <c r="A7" s="166" t="s">
        <v>285</v>
      </c>
      <c r="B7" s="3">
        <v>1.6</v>
      </c>
    </row>
    <row r="8" spans="1:12" x14ac:dyDescent="0.25">
      <c r="A8" s="166" t="s">
        <v>286</v>
      </c>
      <c r="B8" s="3">
        <v>1</v>
      </c>
    </row>
    <row r="9" spans="1:12" x14ac:dyDescent="0.25">
      <c r="A9" s="167" t="s">
        <v>287</v>
      </c>
      <c r="B9" s="3">
        <v>0.37</v>
      </c>
      <c r="C9" s="13"/>
      <c r="D9" s="13"/>
      <c r="E9" s="13"/>
    </row>
    <row r="10" spans="1:12" x14ac:dyDescent="0.25">
      <c r="A10" s="166" t="s">
        <v>288</v>
      </c>
      <c r="B10" s="3">
        <v>0.21</v>
      </c>
    </row>
    <row r="12" spans="1:12" ht="21" x14ac:dyDescent="0.35">
      <c r="A12" s="138" t="s">
        <v>289</v>
      </c>
      <c r="B12" s="139" t="s">
        <v>290</v>
      </c>
      <c r="C12" s="139" t="s">
        <v>291</v>
      </c>
      <c r="D12" s="139" t="s">
        <v>69</v>
      </c>
      <c r="E12" s="141" t="s">
        <v>67</v>
      </c>
      <c r="F12" s="139" t="s">
        <v>292</v>
      </c>
      <c r="G12" s="141" t="s">
        <v>293</v>
      </c>
      <c r="H12" s="139" t="s">
        <v>294</v>
      </c>
      <c r="I12" s="141" t="s">
        <v>295</v>
      </c>
      <c r="J12" s="139" t="s">
        <v>296</v>
      </c>
      <c r="K12" s="139" t="s">
        <v>297</v>
      </c>
      <c r="L12" s="139" t="s">
        <v>298</v>
      </c>
    </row>
    <row r="13" spans="1:12" ht="15.75" thickBot="1" x14ac:dyDescent="0.3">
      <c r="A13" s="88">
        <v>1</v>
      </c>
      <c r="B13" s="165">
        <f>'Input Shaft'!M7</f>
        <v>-2376.7291849523872</v>
      </c>
      <c r="C13" s="165">
        <f>'Input Shaft'!N6</f>
        <v>7565.41176123689</v>
      </c>
      <c r="D13" s="2">
        <f>SQRT(B13^2+C13^2)</f>
        <v>7929.9619630655161</v>
      </c>
      <c r="E13" s="3">
        <f>0</f>
        <v>0</v>
      </c>
      <c r="F13" s="63">
        <f>D13/B7</f>
        <v>4956.2262269159473</v>
      </c>
      <c r="G13" s="63">
        <f>ABS(E13-F13)</f>
        <v>4956.2262269159473</v>
      </c>
      <c r="H13" s="2">
        <f>E13/B8/D13</f>
        <v>0</v>
      </c>
      <c r="I13" s="2">
        <f>D13</f>
        <v>7929.9619630655161</v>
      </c>
      <c r="J13" s="2">
        <f>(B5/I13)^(10/3)</f>
        <v>2331.3979854661561</v>
      </c>
      <c r="K13" s="2">
        <f>J13*$B$10</f>
        <v>489.59357694789276</v>
      </c>
      <c r="L13" s="91">
        <f>K13*10^6/60/E2</f>
        <v>215870.18383945891</v>
      </c>
    </row>
    <row r="14" spans="1:12" ht="16.5" thickTop="1" thickBot="1" x14ac:dyDescent="0.3">
      <c r="A14" s="88">
        <v>2</v>
      </c>
      <c r="B14" s="165">
        <f>'Input Shaft'!M6</f>
        <v>5293.6240937575894</v>
      </c>
      <c r="C14" s="165">
        <f>'Input Shaft'!N6</f>
        <v>7565.41176123689</v>
      </c>
      <c r="D14" s="2">
        <f t="shared" ref="D14:D18" si="0">SQRT(B14^2+C14^2)</f>
        <v>9233.5210598705144</v>
      </c>
      <c r="E14" s="165">
        <f>'Input Shaft'!L3</f>
        <v>2916.8949088052022</v>
      </c>
      <c r="F14" s="63">
        <f>D14/B7</f>
        <v>5770.9506624190708</v>
      </c>
      <c r="G14" s="63">
        <f t="shared" ref="G14:G18" si="1">ABS(E14-F14)</f>
        <v>2854.0557536138685</v>
      </c>
      <c r="H14" s="2">
        <f>E14/B8/D14</f>
        <v>0.31590277315575943</v>
      </c>
      <c r="I14" s="2">
        <f>D14</f>
        <v>9233.5210598705144</v>
      </c>
      <c r="J14" s="2">
        <f>(B5/I14)^(10/3)</f>
        <v>1403.768902273358</v>
      </c>
      <c r="K14" s="2">
        <f t="shared" ref="K14:K18" si="2">J14*$B$10</f>
        <v>294.79146947740514</v>
      </c>
      <c r="L14" s="91">
        <f>K14*10^6/60/E2</f>
        <v>129978.60206234794</v>
      </c>
    </row>
    <row r="15" spans="1:12" ht="16.5" thickTop="1" thickBot="1" x14ac:dyDescent="0.3">
      <c r="A15" s="88">
        <v>3</v>
      </c>
      <c r="B15" s="143">
        <f>'Intermediate Shaft'!P9</f>
        <v>2510.6508594160937</v>
      </c>
      <c r="C15" s="143">
        <f>'Intermediate Shaft'!Q9</f>
        <v>8229.4784975770563</v>
      </c>
      <c r="D15" s="2">
        <f t="shared" si="0"/>
        <v>8603.9342210392279</v>
      </c>
      <c r="E15" s="165">
        <f>'Intermediate Shaft'!O11</f>
        <v>2916.8949088052027</v>
      </c>
      <c r="F15" s="63">
        <f>D15/B7</f>
        <v>5377.4588881495174</v>
      </c>
      <c r="G15" s="63">
        <f t="shared" si="1"/>
        <v>2460.5639793443147</v>
      </c>
      <c r="H15" s="2">
        <f>E15/B8/D15</f>
        <v>0.33901873653014575</v>
      </c>
      <c r="I15" s="2">
        <f>D15</f>
        <v>8603.9342210392279</v>
      </c>
      <c r="J15" s="2">
        <f>(B5/I15)^(10/3)</f>
        <v>1776.3552585333848</v>
      </c>
      <c r="K15" s="2">
        <f t="shared" si="2"/>
        <v>373.03460429201078</v>
      </c>
      <c r="L15" s="91">
        <f>K15*10^6/60/E3</f>
        <v>46153.454211931348</v>
      </c>
    </row>
    <row r="16" spans="1:12" ht="16.5" thickTop="1" thickBot="1" x14ac:dyDescent="0.3">
      <c r="A16" s="88">
        <v>4</v>
      </c>
      <c r="B16" s="143">
        <f>'Intermediate Shaft'!P10</f>
        <v>1224.7444983576538</v>
      </c>
      <c r="C16" s="143">
        <f>'Intermediate Shaft'!Q10</f>
        <v>-235.38492468458202</v>
      </c>
      <c r="D16" s="2">
        <f t="shared" si="0"/>
        <v>1247.1588307132768</v>
      </c>
      <c r="E16" s="165">
        <f>'Intermediate Shaft'!O12</f>
        <v>818.50044896854479</v>
      </c>
      <c r="F16" s="63">
        <f>D16/B7</f>
        <v>779.47426919579789</v>
      </c>
      <c r="G16" s="63">
        <f t="shared" si="1"/>
        <v>39.0261797727469</v>
      </c>
      <c r="H16" s="2">
        <f>E16/B8/D16</f>
        <v>0.65629206866973544</v>
      </c>
      <c r="I16" s="2">
        <f>B6*B8*D16+B7*E16</f>
        <v>1808.4642506349824</v>
      </c>
      <c r="J16" s="2">
        <f>(B5/I16)^(10/3)</f>
        <v>321726.62541957444</v>
      </c>
      <c r="K16" s="2">
        <f t="shared" si="2"/>
        <v>67562.591338110637</v>
      </c>
      <c r="L16" s="91">
        <f>K16*10^6/60/E3</f>
        <v>8359135.9350725571</v>
      </c>
    </row>
    <row r="17" spans="1:12" ht="16.5" thickTop="1" thickBot="1" x14ac:dyDescent="0.3">
      <c r="A17" s="88">
        <v>5</v>
      </c>
      <c r="B17" s="143">
        <f>'Output Shaft'!I8</f>
        <v>395.78602792891337</v>
      </c>
      <c r="C17" s="143">
        <f>'Output Shaft'!J8</f>
        <v>962.45456451858547</v>
      </c>
      <c r="D17" s="2">
        <f t="shared" si="0"/>
        <v>1040.6562202122307</v>
      </c>
      <c r="E17" s="143">
        <f>'Output Shaft'!H5</f>
        <v>372.79887642590984</v>
      </c>
      <c r="F17" s="63">
        <f>D17/B7</f>
        <v>650.41013763264414</v>
      </c>
      <c r="G17" s="63">
        <f t="shared" si="1"/>
        <v>277.6112612067343</v>
      </c>
      <c r="H17" s="2">
        <f>E17/B14/D17</f>
        <v>6.7672810281695011E-5</v>
      </c>
      <c r="I17" s="2">
        <f>D17</f>
        <v>1040.6562202122307</v>
      </c>
      <c r="J17" s="2">
        <f>(B5/I17)^(10/3)</f>
        <v>2029998.9628086854</v>
      </c>
      <c r="K17" s="2">
        <f t="shared" si="2"/>
        <v>426299.78218982392</v>
      </c>
      <c r="L17" s="91">
        <f>K17*10^6/60/E4</f>
        <v>14800225.742262216</v>
      </c>
    </row>
    <row r="18" spans="1:12" ht="16.5" thickTop="1" thickBot="1" x14ac:dyDescent="0.3">
      <c r="A18" s="88">
        <v>6</v>
      </c>
      <c r="B18" s="143">
        <f>'Output Shaft'!I9</f>
        <v>-22.987151503003531</v>
      </c>
      <c r="C18" s="143">
        <f>'Output Shaft'!J9</f>
        <v>421.07387197688115</v>
      </c>
      <c r="D18" s="2">
        <f t="shared" si="0"/>
        <v>421.70085937287934</v>
      </c>
      <c r="E18" s="3">
        <f>0</f>
        <v>0</v>
      </c>
      <c r="F18" s="63">
        <f>D18/B7</f>
        <v>263.56303710804957</v>
      </c>
      <c r="G18" s="63">
        <f t="shared" si="1"/>
        <v>263.56303710804957</v>
      </c>
      <c r="H18" s="2">
        <f>E18/B8/D18</f>
        <v>0</v>
      </c>
      <c r="I18" s="2">
        <f>D18</f>
        <v>421.70085937287934</v>
      </c>
      <c r="J18" s="2">
        <f>(B5/I18)^(10/3)</f>
        <v>41226058.066806898</v>
      </c>
      <c r="K18" s="2">
        <f t="shared" si="2"/>
        <v>8657472.1940294486</v>
      </c>
      <c r="L18" s="91">
        <f>K18*10^6/60/E4</f>
        <v>300569102.26601702</v>
      </c>
    </row>
    <row r="19" spans="1:12" ht="15.75" thickTop="1" x14ac:dyDescent="0.25"/>
  </sheetData>
  <pageMargins left="0" right="0" top="0" bottom="0" header="0" footer="0"/>
  <pageSetup paperSize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B86EA-58A1-4D08-A6D0-8ACD2A954A9D}">
  <sheetPr>
    <pageSetUpPr fitToPage="1"/>
  </sheetPr>
  <dimension ref="A1:M57"/>
  <sheetViews>
    <sheetView tabSelected="1" workbookViewId="0">
      <selection activeCell="C35" sqref="C35"/>
    </sheetView>
  </sheetViews>
  <sheetFormatPr defaultRowHeight="15" x14ac:dyDescent="0.25"/>
  <cols>
    <col min="1" max="1" width="47.85546875" customWidth="1"/>
    <col min="2" max="2" width="16.85546875" customWidth="1"/>
    <col min="3" max="3" width="19.42578125" customWidth="1"/>
    <col min="4" max="4" width="9.140625" customWidth="1"/>
    <col min="5" max="5" width="24.140625" customWidth="1"/>
    <col min="6" max="6" width="12.140625" bestFit="1" customWidth="1"/>
    <col min="8" max="8" width="18.7109375" customWidth="1"/>
    <col min="9" max="9" width="11.140625" bestFit="1" customWidth="1"/>
    <col min="11" max="11" width="25.7109375" customWidth="1"/>
    <col min="12" max="12" width="10.140625" bestFit="1" customWidth="1"/>
    <col min="15" max="15" width="26.140625" customWidth="1"/>
    <col min="16" max="16" width="12.140625" bestFit="1" customWidth="1"/>
  </cols>
  <sheetData>
    <row r="1" spans="1:13" ht="19.5" x14ac:dyDescent="0.3">
      <c r="A1" s="144" t="s">
        <v>299</v>
      </c>
    </row>
    <row r="3" spans="1:13" ht="17.25" x14ac:dyDescent="0.3">
      <c r="A3" s="158" t="s">
        <v>300</v>
      </c>
    </row>
    <row r="4" spans="1:13" x14ac:dyDescent="0.25">
      <c r="A4" s="179"/>
      <c r="B4" s="142"/>
    </row>
    <row r="5" spans="1:13" x14ac:dyDescent="0.25">
      <c r="A5" s="163"/>
      <c r="H5" s="203" t="s">
        <v>301</v>
      </c>
      <c r="K5" s="203" t="s">
        <v>302</v>
      </c>
    </row>
    <row r="6" spans="1:13" x14ac:dyDescent="0.25">
      <c r="A6" s="94" t="s">
        <v>303</v>
      </c>
      <c r="B6" s="197">
        <v>5</v>
      </c>
      <c r="C6" s="163"/>
      <c r="E6" s="94" t="s">
        <v>304</v>
      </c>
      <c r="F6" s="197">
        <f>2*(10^11)</f>
        <v>200000000000</v>
      </c>
      <c r="H6" s="94" t="s">
        <v>305</v>
      </c>
      <c r="I6" s="201">
        <f>0.9*L7*B12*(10^-6)</f>
        <v>4849.5599999999995</v>
      </c>
      <c r="K6" s="94" t="s">
        <v>306</v>
      </c>
      <c r="L6" s="197">
        <v>5.8</v>
      </c>
      <c r="M6" s="163"/>
    </row>
    <row r="7" spans="1:13" x14ac:dyDescent="0.25">
      <c r="A7" s="96" t="s">
        <v>307</v>
      </c>
      <c r="B7" s="198">
        <f>2*B6+6</f>
        <v>16</v>
      </c>
      <c r="E7" s="96" t="s">
        <v>308</v>
      </c>
      <c r="F7" s="198">
        <f>((1+B6/B11)^-1)*((B12*PI()*B6*B6*F6)/4)/(PI()*B6*B6*B10/4+B12*B9)</f>
        <v>75628885751.498917</v>
      </c>
      <c r="H7" s="96" t="s">
        <v>309</v>
      </c>
      <c r="I7" s="180">
        <f>Bearings!G13/4</f>
        <v>1239.0565567289868</v>
      </c>
      <c r="K7" s="96" t="s">
        <v>310</v>
      </c>
      <c r="L7" s="204">
        <v>380000000</v>
      </c>
    </row>
    <row r="8" spans="1:13" x14ac:dyDescent="0.25">
      <c r="A8" s="96" t="s">
        <v>311</v>
      </c>
      <c r="B8" s="198">
        <f>B11</f>
        <v>40</v>
      </c>
      <c r="E8" s="96" t="s">
        <v>312</v>
      </c>
      <c r="F8" s="198">
        <f>F7*(1-F9)/F9</f>
        <v>277017983780.92914</v>
      </c>
      <c r="H8" s="96" t="s">
        <v>313</v>
      </c>
      <c r="I8" s="202">
        <f>F9*I7</f>
        <v>265.72890578257386</v>
      </c>
      <c r="K8" s="96" t="s">
        <v>314</v>
      </c>
      <c r="L8" s="204">
        <v>420000000</v>
      </c>
    </row>
    <row r="9" spans="1:13" x14ac:dyDescent="0.25">
      <c r="A9" s="96" t="s">
        <v>315</v>
      </c>
      <c r="B9" s="198">
        <f>B8-B7</f>
        <v>24</v>
      </c>
      <c r="E9" s="96" t="s">
        <v>316</v>
      </c>
      <c r="F9" s="199">
        <f>(F11^3)*F15+(F11^2)*F14+F11*F13+F12</f>
        <v>0.21446067521250001</v>
      </c>
      <c r="H9" s="96" t="s">
        <v>317</v>
      </c>
      <c r="I9" s="198">
        <f>(1-F9)*I7</f>
        <v>973.32765094641297</v>
      </c>
      <c r="K9" s="97" t="s">
        <v>318</v>
      </c>
      <c r="L9" s="205">
        <v>520000000</v>
      </c>
    </row>
    <row r="10" spans="1:13" x14ac:dyDescent="0.25">
      <c r="A10" s="96" t="s">
        <v>319</v>
      </c>
      <c r="B10" s="199">
        <f>B11-B9</f>
        <v>16</v>
      </c>
      <c r="E10" s="96" t="s">
        <v>320</v>
      </c>
      <c r="F10" s="183">
        <f>B6/B11</f>
        <v>0.125</v>
      </c>
      <c r="H10" s="96" t="s">
        <v>321</v>
      </c>
      <c r="I10" s="198">
        <f>I6+I8</f>
        <v>5115.2889057825732</v>
      </c>
    </row>
    <row r="11" spans="1:13" x14ac:dyDescent="0.25">
      <c r="A11" s="96" t="s">
        <v>322</v>
      </c>
      <c r="B11" s="200">
        <v>40</v>
      </c>
      <c r="E11" s="96" t="s">
        <v>323</v>
      </c>
      <c r="F11" s="183">
        <f>(69*(10^9))/F6</f>
        <v>0.34499999999999997</v>
      </c>
      <c r="H11" s="96" t="s">
        <v>324</v>
      </c>
      <c r="I11" s="199">
        <f>I6-I9</f>
        <v>3876.2323490535864</v>
      </c>
      <c r="K11" s="203" t="s">
        <v>325</v>
      </c>
    </row>
    <row r="12" spans="1:13" x14ac:dyDescent="0.25">
      <c r="A12" s="97" t="s">
        <v>326</v>
      </c>
      <c r="B12" s="177">
        <v>14.18</v>
      </c>
      <c r="C12" s="163"/>
      <c r="E12" s="96" t="s">
        <v>327</v>
      </c>
      <c r="F12" s="182">
        <v>0.43890000000000001</v>
      </c>
      <c r="H12" s="97" t="s">
        <v>328</v>
      </c>
      <c r="I12" s="216">
        <f>I6/(1-F9)</f>
        <v>6173.5419818885293</v>
      </c>
      <c r="K12" s="94" t="s">
        <v>329</v>
      </c>
      <c r="L12" s="206">
        <f>I10/(B12*10^-6)</f>
        <v>360739697.16379219</v>
      </c>
    </row>
    <row r="13" spans="1:13" x14ac:dyDescent="0.25">
      <c r="E13" s="96" t="s">
        <v>330</v>
      </c>
      <c r="F13" s="182">
        <v>-0.91969999999999996</v>
      </c>
      <c r="H13" s="145"/>
      <c r="I13" s="214"/>
      <c r="K13" s="96" t="s">
        <v>331</v>
      </c>
      <c r="L13" s="198">
        <f>L8/L12</f>
        <v>1.1642744153253002</v>
      </c>
    </row>
    <row r="14" spans="1:13" x14ac:dyDescent="0.25">
      <c r="B14" s="176"/>
      <c r="E14" s="96" t="s">
        <v>332</v>
      </c>
      <c r="F14" s="182">
        <v>0.8901</v>
      </c>
      <c r="H14" s="145"/>
      <c r="I14" s="215"/>
      <c r="K14" s="97" t="s">
        <v>333</v>
      </c>
      <c r="L14" s="207">
        <f>I12/I7</f>
        <v>4.9824537454417746</v>
      </c>
    </row>
    <row r="15" spans="1:13" x14ac:dyDescent="0.25">
      <c r="E15" s="97" t="s">
        <v>334</v>
      </c>
      <c r="F15" s="182">
        <v>-0.31869999999999998</v>
      </c>
    </row>
    <row r="17" spans="1:13" ht="17.25" x14ac:dyDescent="0.3">
      <c r="A17" s="158" t="s">
        <v>335</v>
      </c>
    </row>
    <row r="18" spans="1:13" x14ac:dyDescent="0.25">
      <c r="A18" s="142"/>
      <c r="B18" s="142"/>
    </row>
    <row r="19" spans="1:13" x14ac:dyDescent="0.25">
      <c r="A19" s="163"/>
      <c r="H19" s="203" t="s">
        <v>301</v>
      </c>
      <c r="K19" s="159" t="s">
        <v>302</v>
      </c>
    </row>
    <row r="20" spans="1:13" x14ac:dyDescent="0.25">
      <c r="A20" s="94" t="s">
        <v>303</v>
      </c>
      <c r="B20" s="197">
        <v>6</v>
      </c>
      <c r="C20" s="163"/>
      <c r="E20" s="94" t="s">
        <v>304</v>
      </c>
      <c r="F20" s="197">
        <f>2*(10^11)</f>
        <v>200000000000</v>
      </c>
      <c r="H20" s="94" t="s">
        <v>305</v>
      </c>
      <c r="I20" s="201">
        <f>0.9*L21*B26*(10^-6)</f>
        <v>6881.04</v>
      </c>
      <c r="K20" s="94" t="s">
        <v>306</v>
      </c>
      <c r="L20" s="197">
        <v>5.8</v>
      </c>
      <c r="M20" s="163"/>
    </row>
    <row r="21" spans="1:13" x14ac:dyDescent="0.25">
      <c r="A21" s="96" t="s">
        <v>307</v>
      </c>
      <c r="B21" s="198">
        <f>2*B20+0.5</f>
        <v>12.5</v>
      </c>
      <c r="E21" s="96" t="s">
        <v>308</v>
      </c>
      <c r="F21" s="198">
        <f>((1+B20/B25)^-1)*((B26*PI()*B20*B20*F20)/4)/(PI()*B20*B20*B24+B26*B23)</f>
        <v>50297276330.581497</v>
      </c>
      <c r="H21" s="96" t="s">
        <v>309</v>
      </c>
      <c r="I21" s="180">
        <f>Bearings!G15/5</f>
        <v>492.11279586886292</v>
      </c>
      <c r="K21" s="96" t="s">
        <v>310</v>
      </c>
      <c r="L21" s="204">
        <v>380000000</v>
      </c>
    </row>
    <row r="22" spans="1:13" x14ac:dyDescent="0.25">
      <c r="A22" s="96" t="s">
        <v>311</v>
      </c>
      <c r="B22" s="198">
        <f>B25</f>
        <v>40</v>
      </c>
      <c r="E22" s="96" t="s">
        <v>312</v>
      </c>
      <c r="F22" s="198">
        <f>F21*(1-F23)/F23</f>
        <v>184231857184.19485</v>
      </c>
      <c r="H22" s="96" t="s">
        <v>313</v>
      </c>
      <c r="I22" s="202">
        <f>F23*I21</f>
        <v>105.53884248274753</v>
      </c>
      <c r="K22" s="96" t="s">
        <v>314</v>
      </c>
      <c r="L22" s="204">
        <v>420000000</v>
      </c>
    </row>
    <row r="23" spans="1:13" x14ac:dyDescent="0.25">
      <c r="A23" s="96" t="s">
        <v>315</v>
      </c>
      <c r="B23" s="198">
        <f>B22-B21</f>
        <v>27.5</v>
      </c>
      <c r="E23" s="96" t="s">
        <v>316</v>
      </c>
      <c r="F23" s="199">
        <f>(F25^3)*F29+(F25^2)*F28+F25*F27+F26</f>
        <v>0.21446067521250001</v>
      </c>
      <c r="H23" s="96" t="s">
        <v>317</v>
      </c>
      <c r="I23" s="198">
        <f>(1-F23)*I21</f>
        <v>386.57395338611542</v>
      </c>
      <c r="K23" s="97" t="s">
        <v>318</v>
      </c>
      <c r="L23" s="205">
        <v>520000000</v>
      </c>
    </row>
    <row r="24" spans="1:13" x14ac:dyDescent="0.25">
      <c r="A24" s="96" t="s">
        <v>319</v>
      </c>
      <c r="B24" s="198">
        <f>B25-B23</f>
        <v>12.5</v>
      </c>
      <c r="E24" s="96" t="s">
        <v>320</v>
      </c>
      <c r="F24" s="186">
        <f>B20/B25</f>
        <v>0.15</v>
      </c>
      <c r="H24" s="96" t="s">
        <v>321</v>
      </c>
      <c r="I24" s="198">
        <f>I20+I22</f>
        <v>6986.5788424827479</v>
      </c>
    </row>
    <row r="25" spans="1:13" x14ac:dyDescent="0.25">
      <c r="A25" s="96" t="s">
        <v>322</v>
      </c>
      <c r="B25" s="217">
        <v>40</v>
      </c>
      <c r="E25" s="96" t="s">
        <v>323</v>
      </c>
      <c r="F25" s="186">
        <f>(69*(10^9))/F20</f>
        <v>0.34499999999999997</v>
      </c>
      <c r="H25" s="96" t="s">
        <v>324</v>
      </c>
      <c r="I25" s="198">
        <f>I20-I23</f>
        <v>6494.4660466138848</v>
      </c>
      <c r="K25" s="203" t="s">
        <v>325</v>
      </c>
    </row>
    <row r="26" spans="1:13" x14ac:dyDescent="0.25">
      <c r="A26" s="97" t="s">
        <v>326</v>
      </c>
      <c r="B26" s="218">
        <v>20.12</v>
      </c>
      <c r="E26" s="96" t="s">
        <v>327</v>
      </c>
      <c r="F26" s="185">
        <v>0.43890000000000001</v>
      </c>
      <c r="H26" s="97" t="s">
        <v>328</v>
      </c>
      <c r="I26" s="207">
        <f>I20/(1-F23)</f>
        <v>8759.6378473622863</v>
      </c>
      <c r="K26" s="94" t="s">
        <v>329</v>
      </c>
      <c r="L26" s="2">
        <f>I24/(B26*10^-6)</f>
        <v>347245469.30828768</v>
      </c>
    </row>
    <row r="27" spans="1:13" x14ac:dyDescent="0.25">
      <c r="C27" s="163"/>
      <c r="E27" s="96" t="s">
        <v>330</v>
      </c>
      <c r="F27" s="185">
        <v>-0.91969999999999996</v>
      </c>
      <c r="K27" s="96" t="s">
        <v>331</v>
      </c>
      <c r="L27" s="2">
        <f>L22/L26</f>
        <v>1.2095190207568127</v>
      </c>
    </row>
    <row r="28" spans="1:13" x14ac:dyDescent="0.25">
      <c r="E28" s="96" t="s">
        <v>332</v>
      </c>
      <c r="F28" s="185">
        <v>0.8901</v>
      </c>
      <c r="K28" s="97" t="s">
        <v>333</v>
      </c>
      <c r="L28" s="2">
        <f>I26/I21</f>
        <v>17.800061126019845</v>
      </c>
    </row>
    <row r="29" spans="1:13" x14ac:dyDescent="0.25">
      <c r="A29" s="178"/>
      <c r="B29" s="176"/>
      <c r="E29" s="97" t="s">
        <v>334</v>
      </c>
      <c r="F29" s="185">
        <v>-0.31869999999999998</v>
      </c>
    </row>
    <row r="31" spans="1:13" ht="17.25" x14ac:dyDescent="0.3">
      <c r="A31" s="158" t="s">
        <v>336</v>
      </c>
    </row>
    <row r="32" spans="1:13" x14ac:dyDescent="0.25">
      <c r="B32" s="142"/>
    </row>
    <row r="33" spans="1:13" x14ac:dyDescent="0.25">
      <c r="A33" s="163"/>
      <c r="H33" s="203" t="s">
        <v>301</v>
      </c>
      <c r="K33" s="203" t="s">
        <v>302</v>
      </c>
    </row>
    <row r="34" spans="1:13" x14ac:dyDescent="0.25">
      <c r="A34" s="94" t="s">
        <v>303</v>
      </c>
      <c r="B34" s="197">
        <v>5</v>
      </c>
      <c r="C34" s="163"/>
      <c r="E34" s="94" t="s">
        <v>304</v>
      </c>
      <c r="F34" s="197">
        <f>2*(10^11)</f>
        <v>200000000000</v>
      </c>
      <c r="H34" s="94" t="s">
        <v>305</v>
      </c>
      <c r="I34" s="201">
        <f>0.9*L35*B40*(10^-6)</f>
        <v>4849.5599999999995</v>
      </c>
      <c r="K34" s="94" t="s">
        <v>306</v>
      </c>
      <c r="L34" s="197">
        <v>5.8</v>
      </c>
      <c r="M34" s="163"/>
    </row>
    <row r="35" spans="1:13" x14ac:dyDescent="0.25">
      <c r="A35" s="96" t="s">
        <v>307</v>
      </c>
      <c r="B35" s="198">
        <f>2*B34+6</f>
        <v>16</v>
      </c>
      <c r="E35" s="96" t="s">
        <v>308</v>
      </c>
      <c r="F35" s="198">
        <f>((1+B34/B39)^-1)*((B40*PI()*B34*B34*F34)/4)/(PI()*B34*B34*B38+B40*B37)</f>
        <v>30994908242.587978</v>
      </c>
      <c r="H35" s="96" t="s">
        <v>309</v>
      </c>
      <c r="I35" s="184">
        <f>Bearings!G16/4</f>
        <v>9.756544943186725</v>
      </c>
      <c r="K35" s="96" t="s">
        <v>310</v>
      </c>
      <c r="L35" s="204">
        <v>380000000</v>
      </c>
    </row>
    <row r="36" spans="1:13" x14ac:dyDescent="0.25">
      <c r="A36" s="96" t="s">
        <v>311</v>
      </c>
      <c r="B36" s="198">
        <f>B39</f>
        <v>40</v>
      </c>
      <c r="E36" s="96" t="s">
        <v>312</v>
      </c>
      <c r="F36" s="198">
        <f>F35*(1-F37)/F37</f>
        <v>113529994571.76918</v>
      </c>
      <c r="H36" s="96" t="s">
        <v>313</v>
      </c>
      <c r="I36" s="202">
        <f>F37*I35</f>
        <v>2.0923952162569277</v>
      </c>
      <c r="K36" s="96" t="s">
        <v>314</v>
      </c>
      <c r="L36" s="204">
        <v>420000000</v>
      </c>
    </row>
    <row r="37" spans="1:13" x14ac:dyDescent="0.25">
      <c r="A37" s="96" t="s">
        <v>315</v>
      </c>
      <c r="B37" s="198">
        <f>B36-B35</f>
        <v>24</v>
      </c>
      <c r="E37" s="96" t="s">
        <v>316</v>
      </c>
      <c r="F37" s="199">
        <f>(F39^3)*F43+(F39^2)*F42+F39*F41+F40</f>
        <v>0.21446067521250001</v>
      </c>
      <c r="H37" s="96" t="s">
        <v>317</v>
      </c>
      <c r="I37" s="198">
        <f>(1-F37)*I35</f>
        <v>7.6641497269297973</v>
      </c>
      <c r="K37" s="97" t="s">
        <v>318</v>
      </c>
      <c r="L37" s="205">
        <v>520000000</v>
      </c>
    </row>
    <row r="38" spans="1:13" x14ac:dyDescent="0.25">
      <c r="A38" s="96" t="s">
        <v>319</v>
      </c>
      <c r="B38" s="198">
        <f>B39-B37</f>
        <v>16</v>
      </c>
      <c r="E38" s="96" t="s">
        <v>320</v>
      </c>
      <c r="F38" s="187">
        <f>B34/B39</f>
        <v>0.125</v>
      </c>
      <c r="H38" s="96" t="s">
        <v>321</v>
      </c>
      <c r="I38" s="198">
        <f>I34+I36</f>
        <v>4851.6523952162561</v>
      </c>
    </row>
    <row r="39" spans="1:13" x14ac:dyDescent="0.25">
      <c r="A39" s="96" t="s">
        <v>322</v>
      </c>
      <c r="B39" s="217">
        <v>40</v>
      </c>
      <c r="E39" s="96" t="s">
        <v>323</v>
      </c>
      <c r="F39" s="187">
        <f>(69*(10^9))/F34</f>
        <v>0.34499999999999997</v>
      </c>
      <c r="H39" s="96" t="s">
        <v>324</v>
      </c>
      <c r="I39" s="198">
        <f>I34-I37</f>
        <v>4841.8958502730693</v>
      </c>
      <c r="K39" s="203" t="s">
        <v>325</v>
      </c>
    </row>
    <row r="40" spans="1:13" x14ac:dyDescent="0.25">
      <c r="A40" s="97" t="s">
        <v>326</v>
      </c>
      <c r="B40" s="218">
        <v>14.18</v>
      </c>
      <c r="E40" s="96" t="s">
        <v>327</v>
      </c>
      <c r="F40" s="182">
        <v>0.43890000000000001</v>
      </c>
      <c r="H40" s="97" t="s">
        <v>328</v>
      </c>
      <c r="I40" s="207">
        <f>I34/(1-F37)</f>
        <v>6173.5419818885293</v>
      </c>
      <c r="K40" s="94" t="s">
        <v>329</v>
      </c>
      <c r="L40" s="2">
        <f>I38/(B40*10^-6)</f>
        <v>342147559.606224</v>
      </c>
    </row>
    <row r="41" spans="1:13" x14ac:dyDescent="0.25">
      <c r="C41" s="163"/>
      <c r="E41" s="96" t="s">
        <v>330</v>
      </c>
      <c r="F41" s="182">
        <v>-0.91969999999999996</v>
      </c>
      <c r="K41" s="96" t="s">
        <v>331</v>
      </c>
      <c r="L41" s="2">
        <f>L36/L40</f>
        <v>1.2275405397699637</v>
      </c>
    </row>
    <row r="42" spans="1:13" x14ac:dyDescent="0.25">
      <c r="E42" s="96" t="s">
        <v>332</v>
      </c>
      <c r="F42" s="182">
        <v>0.8901</v>
      </c>
      <c r="K42" s="97" t="s">
        <v>333</v>
      </c>
      <c r="L42" s="2">
        <f>I40/I35</f>
        <v>632.75903691702774</v>
      </c>
    </row>
    <row r="43" spans="1:13" x14ac:dyDescent="0.25">
      <c r="B43" s="176"/>
      <c r="E43" s="97" t="s">
        <v>334</v>
      </c>
      <c r="F43" s="182">
        <v>-0.31869999999999998</v>
      </c>
    </row>
    <row r="45" spans="1:13" ht="17.25" x14ac:dyDescent="0.3">
      <c r="A45" s="158" t="s">
        <v>337</v>
      </c>
    </row>
    <row r="46" spans="1:13" x14ac:dyDescent="0.25">
      <c r="B46" s="142"/>
    </row>
    <row r="47" spans="1:13" x14ac:dyDescent="0.25">
      <c r="A47" s="163"/>
      <c r="H47" s="203" t="s">
        <v>301</v>
      </c>
      <c r="K47" s="203" t="s">
        <v>302</v>
      </c>
    </row>
    <row r="48" spans="1:13" x14ac:dyDescent="0.25">
      <c r="A48" s="94" t="s">
        <v>303</v>
      </c>
      <c r="B48" s="197">
        <v>4</v>
      </c>
      <c r="C48" s="163"/>
      <c r="E48" s="94" t="s">
        <v>304</v>
      </c>
      <c r="F48" s="197">
        <f>2*(10^11)</f>
        <v>200000000000</v>
      </c>
      <c r="H48" s="94" t="s">
        <v>305</v>
      </c>
      <c r="I48" s="201">
        <f>0.9*L49*B54*(10^-6)</f>
        <v>3002.7599999999998</v>
      </c>
      <c r="K48" s="94" t="s">
        <v>306</v>
      </c>
      <c r="L48" s="197">
        <v>5.8</v>
      </c>
    </row>
    <row r="49" spans="1:12" x14ac:dyDescent="0.25">
      <c r="A49" s="96" t="s">
        <v>307</v>
      </c>
      <c r="B49" s="198">
        <f>2*B48+6</f>
        <v>14</v>
      </c>
      <c r="E49" s="96" t="s">
        <v>308</v>
      </c>
      <c r="F49" s="198">
        <f>((1+B48/B53)^-1)*((B54*PI()*B48*B48*F48)/4)/(PI()*B48*B48*B52+B54*B51)</f>
        <v>24311036360.142593</v>
      </c>
      <c r="H49" s="96" t="s">
        <v>309</v>
      </c>
      <c r="I49" s="184">
        <f>0/14</f>
        <v>0</v>
      </c>
      <c r="K49" s="96" t="s">
        <v>310</v>
      </c>
      <c r="L49" s="204">
        <v>380000000</v>
      </c>
    </row>
    <row r="50" spans="1:12" x14ac:dyDescent="0.25">
      <c r="A50" s="96" t="s">
        <v>311</v>
      </c>
      <c r="B50" s="198">
        <f>B53</f>
        <v>20</v>
      </c>
      <c r="E50" s="96" t="s">
        <v>312</v>
      </c>
      <c r="F50" s="198">
        <f>F49*(1-F51)/F51</f>
        <v>51319816508.641983</v>
      </c>
      <c r="H50" s="96" t="s">
        <v>313</v>
      </c>
      <c r="I50" s="202">
        <f>F51*I49</f>
        <v>0</v>
      </c>
      <c r="K50" s="96" t="s">
        <v>314</v>
      </c>
      <c r="L50" s="204">
        <v>420000000</v>
      </c>
    </row>
    <row r="51" spans="1:12" x14ac:dyDescent="0.25">
      <c r="A51" s="96" t="s">
        <v>315</v>
      </c>
      <c r="B51" s="198">
        <f>B50-B49</f>
        <v>6</v>
      </c>
      <c r="E51" s="96" t="s">
        <v>316</v>
      </c>
      <c r="F51" s="199">
        <f>(F53^3)*F57+(F53^2)*F56+F53*F55+F54</f>
        <v>0.32144337182500005</v>
      </c>
      <c r="H51" s="96" t="s">
        <v>317</v>
      </c>
      <c r="I51" s="198">
        <f>(1-F51)*I49</f>
        <v>0</v>
      </c>
      <c r="K51" s="97" t="s">
        <v>318</v>
      </c>
      <c r="L51" s="205">
        <v>520000000</v>
      </c>
    </row>
    <row r="52" spans="1:12" x14ac:dyDescent="0.25">
      <c r="A52" s="96" t="s">
        <v>319</v>
      </c>
      <c r="B52" s="198">
        <f>B53-B51</f>
        <v>14</v>
      </c>
      <c r="E52" s="96" t="s">
        <v>320</v>
      </c>
      <c r="F52" s="187">
        <f>B48/B53</f>
        <v>0.2</v>
      </c>
      <c r="H52" s="96" t="s">
        <v>321</v>
      </c>
      <c r="I52" s="198">
        <f>I48+I50</f>
        <v>3002.7599999999998</v>
      </c>
    </row>
    <row r="53" spans="1:12" x14ac:dyDescent="0.25">
      <c r="A53" s="96" t="s">
        <v>322</v>
      </c>
      <c r="B53" s="217">
        <v>20</v>
      </c>
      <c r="E53" s="96" t="s">
        <v>323</v>
      </c>
      <c r="F53" s="187">
        <f>(69*(10^9))/F48</f>
        <v>0.34499999999999997</v>
      </c>
      <c r="H53" s="96" t="s">
        <v>324</v>
      </c>
      <c r="I53" s="198">
        <f>I48-I51</f>
        <v>3002.7599999999998</v>
      </c>
      <c r="K53" s="203" t="s">
        <v>325</v>
      </c>
    </row>
    <row r="54" spans="1:12" x14ac:dyDescent="0.25">
      <c r="A54" s="97" t="s">
        <v>326</v>
      </c>
      <c r="B54" s="218">
        <v>8.7799999999999994</v>
      </c>
      <c r="E54" s="96" t="s">
        <v>327</v>
      </c>
      <c r="F54" s="182">
        <v>0.61180000000000001</v>
      </c>
      <c r="H54" s="97" t="s">
        <v>328</v>
      </c>
      <c r="I54" s="207">
        <f>I48/(1-F51)</f>
        <v>4425.2165188865965</v>
      </c>
      <c r="K54" s="94" t="s">
        <v>329</v>
      </c>
      <c r="L54" s="2">
        <f>I52/(B54*10^-6)</f>
        <v>342000000</v>
      </c>
    </row>
    <row r="55" spans="1:12" x14ac:dyDescent="0.25">
      <c r="C55" s="163"/>
      <c r="E55" s="96" t="s">
        <v>330</v>
      </c>
      <c r="F55" s="182">
        <v>-1.1715</v>
      </c>
      <c r="K55" s="96" t="s">
        <v>331</v>
      </c>
      <c r="L55" s="2">
        <f>L50/L54</f>
        <v>1.2280701754385965</v>
      </c>
    </row>
    <row r="56" spans="1:12" x14ac:dyDescent="0.25">
      <c r="E56" s="96" t="s">
        <v>332</v>
      </c>
      <c r="F56" s="182">
        <v>1.0874999999999999</v>
      </c>
      <c r="K56" s="97" t="s">
        <v>333</v>
      </c>
      <c r="L56" s="2" t="s">
        <v>338</v>
      </c>
    </row>
    <row r="57" spans="1:12" x14ac:dyDescent="0.25">
      <c r="B57" s="176"/>
      <c r="E57" s="97" t="s">
        <v>334</v>
      </c>
      <c r="F57" s="182">
        <v>-0.38059999999999999</v>
      </c>
    </row>
  </sheetData>
  <pageMargins left="0" right="0" top="0" bottom="0" header="0" footer="0"/>
  <pageSetup paperSize="3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CFBE6-ADAF-4221-8D38-3D4EFA3FB220}">
  <sheetPr>
    <pageSetUpPr fitToPage="1"/>
  </sheetPr>
  <dimension ref="A1:K14"/>
  <sheetViews>
    <sheetView tabSelected="1" workbookViewId="0">
      <selection activeCell="C35" sqref="C35"/>
    </sheetView>
  </sheetViews>
  <sheetFormatPr defaultRowHeight="15" x14ac:dyDescent="0.25"/>
  <cols>
    <col min="1" max="1" width="18.140625" customWidth="1"/>
    <col min="2" max="2" width="10.28515625" customWidth="1"/>
    <col min="3" max="3" width="14.7109375" customWidth="1"/>
    <col min="6" max="6" width="20.85546875" customWidth="1"/>
    <col min="7" max="7" width="36.5703125" customWidth="1"/>
    <col min="10" max="10" width="4.7109375" customWidth="1"/>
  </cols>
  <sheetData>
    <row r="1" spans="1:11" ht="19.5" x14ac:dyDescent="0.3">
      <c r="A1" s="144" t="s">
        <v>339</v>
      </c>
      <c r="G1" s="212" t="s">
        <v>340</v>
      </c>
      <c r="H1" s="134">
        <f>MIN('Input Shaft'!B46,'Input Shaft'!B59,'Input Shaft'!B71,'Input Shaft'!B83,'Input Shaft'!B95)</f>
        <v>1.3834383841802145</v>
      </c>
    </row>
    <row r="2" spans="1:11" ht="15.75" x14ac:dyDescent="0.25">
      <c r="B2" s="189" t="s">
        <v>341</v>
      </c>
      <c r="C2" s="189" t="s">
        <v>342</v>
      </c>
    </row>
    <row r="3" spans="1:11" ht="15.75" x14ac:dyDescent="0.25">
      <c r="A3" s="173" t="s">
        <v>343</v>
      </c>
      <c r="B3" s="210">
        <f>H4</f>
        <v>1641000000</v>
      </c>
      <c r="C3" s="126">
        <f>B3</f>
        <v>1641000000</v>
      </c>
      <c r="D3" s="212" t="s">
        <v>344</v>
      </c>
      <c r="G3" s="212" t="s">
        <v>345</v>
      </c>
      <c r="H3" s="212" t="s">
        <v>37</v>
      </c>
      <c r="I3" s="212" t="s">
        <v>346</v>
      </c>
      <c r="K3" s="212" t="s">
        <v>347</v>
      </c>
    </row>
    <row r="4" spans="1:11" ht="15.75" x14ac:dyDescent="0.25">
      <c r="A4" s="173" t="s">
        <v>348</v>
      </c>
      <c r="B4" s="211">
        <v>10</v>
      </c>
      <c r="C4" s="211">
        <v>14</v>
      </c>
      <c r="E4">
        <v>9</v>
      </c>
      <c r="G4" s="212" t="s">
        <v>349</v>
      </c>
      <c r="H4" s="210">
        <f>'Input Shaft'!B14</f>
        <v>1641000000</v>
      </c>
      <c r="I4" s="134">
        <v>1.79</v>
      </c>
      <c r="K4" t="b">
        <f>I4&lt;=$H$1</f>
        <v>0</v>
      </c>
    </row>
    <row r="5" spans="1:11" ht="15.75" x14ac:dyDescent="0.25">
      <c r="A5" s="173" t="s">
        <v>350</v>
      </c>
      <c r="B5" s="211">
        <v>8</v>
      </c>
      <c r="C5" s="211">
        <v>9</v>
      </c>
      <c r="G5" s="213" t="s">
        <v>351</v>
      </c>
      <c r="H5" s="210">
        <f>1.193*10^9</f>
        <v>1193000000</v>
      </c>
      <c r="I5" s="134">
        <v>1.3</v>
      </c>
      <c r="K5" t="b">
        <f t="shared" ref="K5:K7" si="0">I5&lt;=$H$1</f>
        <v>1</v>
      </c>
    </row>
    <row r="6" spans="1:11" ht="15.75" x14ac:dyDescent="0.25">
      <c r="A6" s="173" t="s">
        <v>44</v>
      </c>
      <c r="B6" s="125">
        <f>'Input Shaft'!J17</f>
        <v>25.4</v>
      </c>
      <c r="C6" s="125">
        <f>'Intermediate Shaft'!F16</f>
        <v>25.4</v>
      </c>
      <c r="G6" t="s">
        <v>352</v>
      </c>
      <c r="H6" s="210">
        <f>1.213*10^9</f>
        <v>1213000000</v>
      </c>
      <c r="I6" s="134">
        <v>1.32</v>
      </c>
      <c r="K6" t="b">
        <f t="shared" si="0"/>
        <v>1</v>
      </c>
    </row>
    <row r="7" spans="1:11" ht="15.75" x14ac:dyDescent="0.25">
      <c r="A7" s="173"/>
      <c r="G7" t="s">
        <v>353</v>
      </c>
      <c r="H7" s="210">
        <f>1.262*10^9</f>
        <v>1262000000</v>
      </c>
      <c r="I7" s="134">
        <v>1.37</v>
      </c>
      <c r="K7" t="b">
        <f t="shared" si="0"/>
        <v>1</v>
      </c>
    </row>
    <row r="8" spans="1:11" ht="15.75" x14ac:dyDescent="0.25">
      <c r="A8" s="173" t="s">
        <v>354</v>
      </c>
      <c r="B8" s="33">
        <f>'Input Shaft'!B3/('Input Shaft'!DShaft1/2/1000)</f>
        <v>93308.57142857142</v>
      </c>
      <c r="C8" s="33">
        <f>'Intermediate Shaft'!B3/('Intermediate Shaft'!DShaft2/2/1000)</f>
        <v>20364.568410456974</v>
      </c>
      <c r="I8" s="134"/>
    </row>
    <row r="9" spans="1:11" ht="15.75" x14ac:dyDescent="0.25">
      <c r="A9" s="173" t="s">
        <v>355</v>
      </c>
      <c r="B9" s="33">
        <f>(B4*B6)/10^6</f>
        <v>2.5399999999999999E-4</v>
      </c>
      <c r="C9" s="33">
        <f>(C4*C6)/10^6</f>
        <v>3.5559999999999997E-4</v>
      </c>
    </row>
    <row r="10" spans="1:11" ht="15.75" x14ac:dyDescent="0.25">
      <c r="A10" s="173" t="s">
        <v>356</v>
      </c>
      <c r="B10" s="33">
        <f>(B5/2*B6)/10^6</f>
        <v>1.0159999999999999E-4</v>
      </c>
      <c r="C10" s="33">
        <f>(C5/2*C6)/10^6</f>
        <v>1.143E-4</v>
      </c>
    </row>
    <row r="11" spans="1:11" ht="15.75" x14ac:dyDescent="0.25">
      <c r="A11" s="173" t="s">
        <v>357</v>
      </c>
      <c r="B11" s="33">
        <f>B8/B9</f>
        <v>367356580.42744654</v>
      </c>
      <c r="C11" s="33">
        <f>C8/C9</f>
        <v>57268190.130643912</v>
      </c>
    </row>
    <row r="12" spans="1:11" ht="15.75" x14ac:dyDescent="0.25">
      <c r="A12" s="173" t="s">
        <v>358</v>
      </c>
      <c r="B12" s="33">
        <f>B8/B10</f>
        <v>918391451.06861639</v>
      </c>
      <c r="C12" s="33">
        <f>C8/C10</f>
        <v>178167702.62866995</v>
      </c>
    </row>
    <row r="13" spans="1:11" ht="15.75" x14ac:dyDescent="0.25">
      <c r="A13" s="173" t="s">
        <v>359</v>
      </c>
      <c r="B13" s="42">
        <f>0.5*B3/B11</f>
        <v>2.233524710637516</v>
      </c>
      <c r="C13" s="42">
        <f>0.5*C3/C11</f>
        <v>14.327325486072148</v>
      </c>
    </row>
    <row r="14" spans="1:11" ht="15.75" x14ac:dyDescent="0.25">
      <c r="A14" s="173" t="s">
        <v>360</v>
      </c>
      <c r="B14" s="42">
        <f>B3/B12</f>
        <v>1.7868197685100129</v>
      </c>
      <c r="C14" s="42">
        <f>C3/C12</f>
        <v>9.2104235267606676</v>
      </c>
    </row>
  </sheetData>
  <pageMargins left="0" right="0" top="0" bottom="0" header="0" footer="0"/>
  <pageSetup paperSize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8ED7-47C2-48AC-A800-97FF802A7D4C}">
  <sheetPr>
    <pageSetUpPr fitToPage="1"/>
  </sheetPr>
  <dimension ref="A1:B5"/>
  <sheetViews>
    <sheetView tabSelected="1" workbookViewId="0">
      <selection activeCell="C35" sqref="C35"/>
    </sheetView>
  </sheetViews>
  <sheetFormatPr defaultRowHeight="15" x14ac:dyDescent="0.25"/>
  <cols>
    <col min="1" max="1" width="24" customWidth="1"/>
  </cols>
  <sheetData>
    <row r="1" spans="1:2" ht="61.5" x14ac:dyDescent="0.9">
      <c r="A1" s="188" t="s">
        <v>361</v>
      </c>
    </row>
    <row r="3" spans="1:2" ht="23.25" x14ac:dyDescent="0.35">
      <c r="A3" s="190" t="s">
        <v>362</v>
      </c>
      <c r="B3" s="40">
        <v>1</v>
      </c>
    </row>
    <row r="4" spans="1:2" ht="23.25" x14ac:dyDescent="0.35">
      <c r="A4" s="190" t="s">
        <v>363</v>
      </c>
      <c r="B4" s="42">
        <f>1+1</f>
        <v>2</v>
      </c>
    </row>
    <row r="5" spans="1:2" ht="23.25" x14ac:dyDescent="0.35">
      <c r="A5" s="190" t="s">
        <v>364</v>
      </c>
      <c r="B5" s="125">
        <f>'Input Shaft'!B6</f>
        <v>12.7</v>
      </c>
    </row>
  </sheetData>
  <pageMargins left="0" right="0" top="0" bottom="0" header="0" footer="0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68</vt:i4>
      </vt:variant>
    </vt:vector>
  </HeadingPairs>
  <TitlesOfParts>
    <vt:vector size="76" baseType="lpstr">
      <vt:lpstr>Input Shaft</vt:lpstr>
      <vt:lpstr>Intermediate Shaft</vt:lpstr>
      <vt:lpstr>Output Shaft</vt:lpstr>
      <vt:lpstr>Gears</vt:lpstr>
      <vt:lpstr>Bearings</vt:lpstr>
      <vt:lpstr>Bolts</vt:lpstr>
      <vt:lpstr>Keys</vt:lpstr>
      <vt:lpstr>COLOUR SCHEME</vt:lpstr>
      <vt:lpstr>B1B2</vt:lpstr>
      <vt:lpstr>B1D1</vt:lpstr>
      <vt:lpstr>B1G1</vt:lpstr>
      <vt:lpstr>B1G2</vt:lpstr>
      <vt:lpstr>'Intermediate Shaft'!DGear</vt:lpstr>
      <vt:lpstr>'Output Shaft'!DGear</vt:lpstr>
      <vt:lpstr>'Intermediate Shaft'!Dpinion</vt:lpstr>
      <vt:lpstr>'Output Shaft'!Dpinion</vt:lpstr>
      <vt:lpstr>Dsg</vt:lpstr>
      <vt:lpstr>'Input Shaft'!DShaft1</vt:lpstr>
      <vt:lpstr>'Intermediate Shaft'!Dshaft1</vt:lpstr>
      <vt:lpstr>'COLOUR SCHEME'!DShaft2</vt:lpstr>
      <vt:lpstr>'Input Shaft'!DShaft2</vt:lpstr>
      <vt:lpstr>'Intermediate Shaft'!DShaft2</vt:lpstr>
      <vt:lpstr>'Output Shaft'!DShaft2</vt:lpstr>
      <vt:lpstr>'Intermediate Shaft'!DShaft3</vt:lpstr>
      <vt:lpstr>Fg1a</vt:lpstr>
      <vt:lpstr>Fg1r</vt:lpstr>
      <vt:lpstr>Fg2a</vt:lpstr>
      <vt:lpstr>Fg2r</vt:lpstr>
      <vt:lpstr>Fg2z</vt:lpstr>
      <vt:lpstr>Fgear1</vt:lpstr>
      <vt:lpstr>Fgear2</vt:lpstr>
      <vt:lpstr>Frb1y</vt:lpstr>
      <vt:lpstr>Frb1z</vt:lpstr>
      <vt:lpstr>Frb2y</vt:lpstr>
      <vt:lpstr>Frb2z</vt:lpstr>
      <vt:lpstr>'Input Shaft'!Gear_density</vt:lpstr>
      <vt:lpstr>'Intermediate Shaft'!Gear_density</vt:lpstr>
      <vt:lpstr>'Output Shaft'!Gear_density</vt:lpstr>
      <vt:lpstr>Gear_Ratio</vt:lpstr>
      <vt:lpstr>'Input Shaft'!gravity</vt:lpstr>
      <vt:lpstr>'Intermediate Shaft'!gravity</vt:lpstr>
      <vt:lpstr>'Output Shaft'!gravity</vt:lpstr>
      <vt:lpstr>Helix_Angle</vt:lpstr>
      <vt:lpstr>Input_RPM</vt:lpstr>
      <vt:lpstr>'Input Shaft'!Input_Torque</vt:lpstr>
      <vt:lpstr>My1_</vt:lpstr>
      <vt:lpstr>My2_</vt:lpstr>
      <vt:lpstr>'Intermediate Shaft'!My3_</vt:lpstr>
      <vt:lpstr>My4_</vt:lpstr>
      <vt:lpstr>My5_</vt:lpstr>
      <vt:lpstr>My6_</vt:lpstr>
      <vt:lpstr>My7_</vt:lpstr>
      <vt:lpstr>Mz1_</vt:lpstr>
      <vt:lpstr>Mz2_</vt:lpstr>
      <vt:lpstr>'Intermediate Shaft'!Mz3_</vt:lpstr>
      <vt:lpstr>Mz4_</vt:lpstr>
      <vt:lpstr>Mz5_</vt:lpstr>
      <vt:lpstr>Mz6_</vt:lpstr>
      <vt:lpstr>Mz7_</vt:lpstr>
      <vt:lpstr>Pressure_Angle</vt:lpstr>
      <vt:lpstr>'Input Shaft'!Shaft_density</vt:lpstr>
      <vt:lpstr>'Intermediate Shaft'!Shaft_density</vt:lpstr>
      <vt:lpstr>'Input Shaft'!Shoulder_height</vt:lpstr>
      <vt:lpstr>'Intermediate Shaft'!Shoulder_height</vt:lpstr>
      <vt:lpstr>'Intermediate Shaft'!Torque</vt:lpstr>
      <vt:lpstr>'Output Shaft'!Torque</vt:lpstr>
      <vt:lpstr>WeightG1</vt:lpstr>
      <vt:lpstr>WeightG2</vt:lpstr>
      <vt:lpstr>WeightShaft</vt:lpstr>
      <vt:lpstr>σ_Bending_Max_1</vt:lpstr>
      <vt:lpstr>σ_Bending_Max_2</vt:lpstr>
      <vt:lpstr>σ_Bending_Max_3</vt:lpstr>
      <vt:lpstr>σ_Bending_Max_4</vt:lpstr>
      <vt:lpstr>σ_Bending_Max_5</vt:lpstr>
      <vt:lpstr>σ_Bending_Max_6</vt:lpstr>
      <vt:lpstr>σ_Bending_Max_7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Derek Smith</dc:creator>
  <cp:keywords/>
  <dc:description/>
  <cp:lastModifiedBy>Bryce Dombrowski</cp:lastModifiedBy>
  <cp:revision/>
  <cp:lastPrinted>2019-06-08T18:54:07Z</cp:lastPrinted>
  <dcterms:created xsi:type="dcterms:W3CDTF">2018-10-29T20:25:09Z</dcterms:created>
  <dcterms:modified xsi:type="dcterms:W3CDTF">2019-06-08T18:54:09Z</dcterms:modified>
  <cp:category/>
  <cp:contentStatus/>
</cp:coreProperties>
</file>